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4" activeTab="8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з початку року" sheetId="10" r:id="rId10"/>
    <sheet name="уточнення планових показників" sheetId="11" r:id="rId11"/>
  </sheets>
  <externalReferences>
    <externalReference r:id="rId14"/>
    <externalReference r:id="rId15"/>
    <externalReference r:id="rId16"/>
    <externalReference r:id="rId17"/>
    <externalReference r:id="rId18"/>
  </externalReferences>
  <definedNames>
    <definedName name="_xlnm.Print_Area" localSheetId="9">'з початку року'!$A$1:$P$47</definedName>
  </definedNames>
  <calcPr fullCalcOnLoad="1"/>
</workbook>
</file>

<file path=xl/sharedStrings.xml><?xml version="1.0" encoding="utf-8"?>
<sst xmlns="http://schemas.openxmlformats.org/spreadsheetml/2006/main" count="356" uniqueCount="119">
  <si>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</si>
  <si>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</si>
  <si>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</si>
  <si>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</si>
  <si>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</si>
  <si>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</si>
  <si>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</si>
  <si>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</si>
  <si>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</si>
  <si>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</si>
  <si>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</si>
  <si>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</si>
  <si>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</si>
  <si>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</si>
  <si>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</si>
  <si>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</si>
  <si>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</si>
  <si>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</si>
  <si>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</si>
  <si>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</si>
  <si>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</si>
  <si>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</si>
  <si>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</si>
  <si>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</si>
  <si>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</si>
  <si>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</si>
  <si>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</si>
  <si>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</si>
  <si>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</si>
  <si>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</si>
  <si>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</si>
  <si>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</si>
  <si>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</si>
  <si>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</si>
  <si>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</si>
  <si>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</si>
  <si>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</si>
  <si>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</si>
  <si>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</si>
  <si>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</si>
  <si>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</si>
  <si>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</si>
  <si>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</si>
  <si>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</si>
  <si>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</si>
  <si>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</si>
  <si>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</si>
  <si>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</si>
  <si>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</si>
  <si>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</si>
  <si>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</si>
  <si>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</si>
  <si>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</si>
  <si>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</si>
  <si>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</si>
  <si>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</si>
  <si>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</si>
  <si>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</si>
  <si>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</si>
  <si>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</si>
  <si>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</si>
  <si>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</si>
  <si>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</si>
  <si>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</si>
  <si>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</si>
  <si>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</si>
  <si>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</si>
  <si>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</si>
  <si>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</si>
  <si>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</si>
  <si>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</si>
  <si>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</si>
  <si>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</si>
  <si>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</si>
  <si>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</si>
  <si>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</si>
  <si>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</si>
  <si>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</si>
  <si>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</si>
  <si>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</si>
  <si>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</si>
  <si>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</si>
  <si>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Зміни до   розпису доходів станом на 27.03.2017р. :</t>
  </si>
  <si>
    <t>станом на 01.04.2017</t>
  </si>
  <si>
    <r>
      <t xml:space="preserve">станом на 01.04.2017р.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</si>
  <si>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2017 року</t>
  </si>
  <si>
    <t>Фактичні надходження (квітень)</t>
  </si>
  <si>
    <t xml:space="preserve">Динаміка надходжень до бюджету розвитку за квітень 2017 р. </t>
  </si>
  <si>
    <t>станом на 01.05.2017</t>
  </si>
  <si>
    <r>
      <t xml:space="preserve">станом на 01.05.2017р.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</si>
  <si>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2017 року</t>
  </si>
  <si>
    <t>Фактичні надходження (травень)</t>
  </si>
  <si>
    <t xml:space="preserve">Динаміка надходжень до бюджету розвитку за травень 2017 р. </t>
  </si>
  <si>
    <r>
      <t xml:space="preserve"> Уточнений прогноз </t>
    </r>
    <r>
      <rPr>
        <sz val="10"/>
        <rFont val="Times New Roman"/>
        <family val="1"/>
      </rPr>
      <t xml:space="preserve">надходжень </t>
    </r>
  </si>
  <si>
    <t>станом на 01.06.2017</t>
  </si>
  <si>
    <r>
      <t xml:space="preserve">станом на 01.06.2017р.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</si>
  <si>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2017 року</t>
  </si>
  <si>
    <t>Фактичні надходження (червень)</t>
  </si>
  <si>
    <t xml:space="preserve">Динаміка надходжень до бюджету розвитку за червень 2017 р. </t>
  </si>
  <si>
    <t>станом на 01.07.2017</t>
  </si>
  <si>
    <r>
      <t xml:space="preserve">станом на 01.07.2017р.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</si>
  <si>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2017 року</t>
  </si>
  <si>
    <t>Фактичні надходження (липень)</t>
  </si>
  <si>
    <t xml:space="preserve">Динаміка надходжень до бюджету розвитку за липень 2017 р. </t>
  </si>
  <si>
    <t>станом на 01.08.2017</t>
  </si>
  <si>
    <r>
      <t xml:space="preserve">станом на 01.08.2017р.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</si>
  <si>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2017 року</t>
  </si>
  <si>
    <t xml:space="preserve">Динаміка надходжень до бюджету розвитку за серпень 2017 р. </t>
  </si>
  <si>
    <t>станом на 01.09.2017</t>
  </si>
  <si>
    <t>Фактичні надходження (серпень)</t>
  </si>
  <si>
    <r>
      <t xml:space="preserve">станом на 01.09.2017р.           </t>
    </r>
    <r>
      <rPr>
        <sz val="10"/>
        <rFont val="Arial Cyr"/>
        <family val="0"/>
      </rPr>
      <t xml:space="preserve">  ( тис.грн.)</t>
    </r>
  </si>
  <si>
    <t>станом на 04.09.2017</t>
  </si>
  <si>
    <t>Динаміка надходжень податків та неподаткових платежів за вересень 2017 року</t>
  </si>
  <si>
    <t>Фактичні надходження (вересень)</t>
  </si>
  <si>
    <t xml:space="preserve">Динаміка надходжень до бюджету розвитку за вересень 2017 р. </t>
  </si>
  <si>
    <r>
      <t xml:space="preserve">станом на 04.09.2017р.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</si>
  <si>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04.09.2017р.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</si>
  <si>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04.09.2017</t>
    </r>
    <r>
      <rPr>
        <sz val="10"/>
        <rFont val="Times New Roman"/>
        <family val="1"/>
      </rPr>
      <t xml:space="preserve"> (тис.грн.)</t>
    </r>
  </si>
  <si>
    <t>план на січень-вересень 2017р.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</si>
</sst>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9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05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4"/>
      <color indexed="8"/>
      <name val="Times New Roman"/>
      <family val="1"/>
    </font>
    <font>
      <sz val="1.3"/>
      <color indexed="8"/>
      <name val="Times New Roman"/>
      <family val="1"/>
    </font>
    <font>
      <sz val="1.9"/>
      <color indexed="8"/>
      <name val="Times New Roman"/>
      <family val="1"/>
    </font>
    <font>
      <sz val="3.85"/>
      <color indexed="8"/>
      <name val="Times New Roman"/>
      <family val="1"/>
    </font>
    <font>
      <sz val="7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0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6" fillId="25" borderId="1" applyNumberFormat="0" applyAlignment="0" applyProtection="0"/>
    <xf numFmtId="0" fontId="77" fillId="26" borderId="2" applyNumberFormat="0" applyAlignment="0" applyProtection="0"/>
    <xf numFmtId="0" fontId="78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27" borderId="7" applyNumberFormat="0" applyAlignment="0" applyProtection="0"/>
    <xf numFmtId="0" fontId="84" fillId="0" borderId="0" applyNumberFormat="0" applyFill="0" applyBorder="0" applyAlignment="0" applyProtection="0"/>
    <xf numFmtId="0" fontId="85" fillId="28" borderId="0" applyNumberFormat="0" applyBorder="0" applyAlignment="0" applyProtection="0"/>
    <xf numFmtId="0" fontId="74" fillId="0" borderId="0">
      <alignment/>
      <protection/>
    </xf>
    <xf numFmtId="0" fontId="6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0" fillId="31" borderId="0" applyNumberFormat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91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33" fillId="0" borderId="11" xfId="0" applyNumberFormat="1" applyFont="1" applyBorder="1" applyAlignment="1">
      <alignment horizontal="center" vertical="center" wrapText="1"/>
    </xf>
    <xf numFmtId="185" fontId="34" fillId="0" borderId="11" xfId="0" applyNumberFormat="1" applyFont="1" applyBorder="1" applyAlignment="1">
      <alignment/>
    </xf>
    <xf numFmtId="185" fontId="34" fillId="0" borderId="22" xfId="0" applyNumberFormat="1" applyFont="1" applyBorder="1" applyAlignment="1">
      <alignment/>
    </xf>
    <xf numFmtId="185" fontId="33" fillId="0" borderId="15" xfId="0" applyNumberFormat="1" applyFont="1" applyBorder="1" applyAlignment="1">
      <alignment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1" fontId="2" fillId="0" borderId="45" xfId="0" applyNumberFormat="1" applyFont="1" applyFill="1" applyBorder="1" applyAlignment="1">
      <alignment horizontal="center"/>
    </xf>
    <xf numFmtId="185" fontId="2" fillId="0" borderId="31" xfId="0" applyNumberFormat="1" applyFont="1" applyBorder="1" applyAlignment="1">
      <alignment/>
    </xf>
    <xf numFmtId="185" fontId="2" fillId="0" borderId="46" xfId="0" applyNumberFormat="1" applyFont="1" applyBorder="1" applyAlignment="1">
      <alignment/>
    </xf>
    <xf numFmtId="185" fontId="34" fillId="0" borderId="31" xfId="0" applyNumberFormat="1" applyFont="1" applyBorder="1" applyAlignment="1">
      <alignment/>
    </xf>
    <xf numFmtId="180" fontId="2" fillId="0" borderId="31" xfId="0" applyNumberFormat="1" applyFont="1" applyBorder="1" applyAlignment="1">
      <alignment/>
    </xf>
    <xf numFmtId="187" fontId="74" fillId="0" borderId="11" xfId="53" applyNumberFormat="1" applyBorder="1">
      <alignment/>
      <protection/>
    </xf>
    <xf numFmtId="0" fontId="16" fillId="0" borderId="47" xfId="0" applyFont="1" applyBorder="1" applyAlignment="1">
      <alignment horizontal="center"/>
    </xf>
    <xf numFmtId="185" fontId="11" fillId="0" borderId="48" xfId="0" applyNumberFormat="1" applyFont="1" applyBorder="1" applyAlignment="1">
      <alignment horizontal="center"/>
    </xf>
    <xf numFmtId="185" fontId="11" fillId="0" borderId="49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7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52" xfId="0" applyFont="1" applyBorder="1" applyAlignment="1">
      <alignment horizontal="center" wrapText="1"/>
    </xf>
    <xf numFmtId="0" fontId="4" fillId="0" borderId="53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185" fontId="2" fillId="0" borderId="59" xfId="0" applyNumberFormat="1" applyFont="1" applyBorder="1" applyAlignment="1">
      <alignment horizontal="center"/>
    </xf>
    <xf numFmtId="185" fontId="2" fillId="0" borderId="60" xfId="0" applyNumberFormat="1" applyFont="1" applyBorder="1" applyAlignment="1">
      <alignment horizont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185" fontId="2" fillId="0" borderId="11" xfId="0" applyNumberFormat="1" applyFont="1" applyBorder="1" applyAlignment="1">
      <alignment horizontal="center"/>
    </xf>
    <xf numFmtId="0" fontId="1" fillId="0" borderId="44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67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14806459"/>
        <c:axId val="66149268"/>
      </c:lineChart>
      <c:catAx>
        <c:axId val="1480645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149268"/>
        <c:crosses val="autoZero"/>
        <c:auto val="0"/>
        <c:lblOffset val="100"/>
        <c:tickLblSkip val="1"/>
        <c:noMultiLvlLbl val="0"/>
      </c:catAx>
      <c:valAx>
        <c:axId val="6614926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480645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04.09.2017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вересень 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61796485"/>
        <c:axId val="19297454"/>
      </c:bar3DChart>
      <c:catAx>
        <c:axId val="61796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297454"/>
        <c:crosses val="autoZero"/>
        <c:auto val="1"/>
        <c:lblOffset val="100"/>
        <c:tickLblSkip val="1"/>
        <c:noMultiLvlLbl val="0"/>
      </c:catAx>
      <c:valAx>
        <c:axId val="19297454"/>
        <c:scaling>
          <c:orientation val="minMax"/>
          <c:max val="48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796485"/>
        <c:crossesAt val="1"/>
        <c:crossBetween val="between"/>
        <c:dispUnits/>
        <c:majorUnit val="40000"/>
        <c:minorUnit val="96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0.26125"/>
          <c:y val="-0.0052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"/>
          <c:w val="0.86325"/>
          <c:h val="0.871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вересень2017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39459359"/>
        <c:axId val="19589912"/>
      </c:bar3DChart>
      <c:catAx>
        <c:axId val="39459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9589912"/>
        <c:crosses val="autoZero"/>
        <c:auto val="1"/>
        <c:lblOffset val="100"/>
        <c:tickLblSkip val="1"/>
        <c:noMultiLvlLbl val="0"/>
      </c:catAx>
      <c:valAx>
        <c:axId val="19589912"/>
        <c:scaling>
          <c:orientation val="minMax"/>
          <c:max val="4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459359"/>
        <c:crossesAt val="1"/>
        <c:crossBetween val="between"/>
        <c:dispUnits/>
        <c:majorUnit val="5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475"/>
          <c:y val="0.32725"/>
          <c:w val="0.14"/>
          <c:h val="0.31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58472501"/>
        <c:axId val="56490462"/>
      </c:lineChart>
      <c:catAx>
        <c:axId val="5847250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490462"/>
        <c:crosses val="autoZero"/>
        <c:auto val="0"/>
        <c:lblOffset val="100"/>
        <c:tickLblSkip val="1"/>
        <c:noMultiLvlLbl val="0"/>
      </c:catAx>
      <c:valAx>
        <c:axId val="56490462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8472501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marker val="1"/>
        <c:axId val="38652111"/>
        <c:axId val="12324680"/>
      </c:lineChart>
      <c:catAx>
        <c:axId val="3865211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324680"/>
        <c:crosses val="autoZero"/>
        <c:auto val="0"/>
        <c:lblOffset val="100"/>
        <c:tickLblSkip val="1"/>
        <c:noMultiLvlLbl val="0"/>
      </c:catAx>
      <c:valAx>
        <c:axId val="12324680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8652111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43813257"/>
        <c:axId val="58774994"/>
      </c:lineChart>
      <c:catAx>
        <c:axId val="4381325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774994"/>
        <c:crosses val="autoZero"/>
        <c:auto val="0"/>
        <c:lblOffset val="100"/>
        <c:tickLblSkip val="1"/>
        <c:noMultiLvlLbl val="0"/>
      </c:catAx>
      <c:valAx>
        <c:axId val="58774994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3813257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травень!$O$4:$O$23</c:f>
              <c:numCache/>
            </c:numRef>
          </c:val>
          <c:smooth val="1"/>
        </c:ser>
        <c:marker val="1"/>
        <c:axId val="59212899"/>
        <c:axId val="63154044"/>
      </c:lineChart>
      <c:catAx>
        <c:axId val="5921289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154044"/>
        <c:crosses val="autoZero"/>
        <c:auto val="0"/>
        <c:lblOffset val="100"/>
        <c:tickLblSkip val="1"/>
        <c:noMultiLvlLbl val="0"/>
      </c:catAx>
      <c:valAx>
        <c:axId val="63154044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212899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31515485"/>
        <c:axId val="15203910"/>
      </c:lineChart>
      <c:catAx>
        <c:axId val="3151548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203910"/>
        <c:crosses val="autoZero"/>
        <c:auto val="0"/>
        <c:lblOffset val="100"/>
        <c:tickLblSkip val="1"/>
        <c:noMultiLvlLbl val="0"/>
      </c:catAx>
      <c:valAx>
        <c:axId val="15203910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1515485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054"/>
          <c:w val="0.974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липень!$O$4:$O$24</c:f>
              <c:numCache/>
            </c:numRef>
          </c:val>
          <c:smooth val="1"/>
        </c:ser>
        <c:marker val="1"/>
        <c:axId val="2617463"/>
        <c:axId val="23557168"/>
      </c:lineChart>
      <c:catAx>
        <c:axId val="261746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557168"/>
        <c:crosses val="autoZero"/>
        <c:auto val="0"/>
        <c:lblOffset val="100"/>
        <c:tickLblSkip val="1"/>
        <c:noMultiLvlLbl val="0"/>
      </c:catAx>
      <c:valAx>
        <c:axId val="2355716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617463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серпень!$O$4:$O$25</c:f>
              <c:numCache/>
            </c:numRef>
          </c:val>
          <c:smooth val="1"/>
        </c:ser>
        <c:marker val="1"/>
        <c:axId val="10687921"/>
        <c:axId val="29082426"/>
      </c:lineChart>
      <c:catAx>
        <c:axId val="1068792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082426"/>
        <c:crosses val="autoZero"/>
        <c:auto val="0"/>
        <c:lblOffset val="100"/>
        <c:tickLblSkip val="1"/>
        <c:noMultiLvlLbl val="0"/>
      </c:catAx>
      <c:valAx>
        <c:axId val="29082426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0687921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вересень!$O$4:$O$24</c:f>
              <c:numCache/>
            </c:numRef>
          </c:val>
          <c:smooth val="1"/>
        </c:ser>
        <c:marker val="1"/>
        <c:axId val="60415243"/>
        <c:axId val="6866276"/>
      </c:lineChart>
      <c:catAx>
        <c:axId val="6041524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866276"/>
        <c:crosses val="autoZero"/>
        <c:auto val="0"/>
        <c:lblOffset val="100"/>
        <c:tickLblSkip val="1"/>
        <c:noMultiLvlLbl val="0"/>
      </c:catAx>
      <c:valAx>
        <c:axId val="6866276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0415243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581025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вересень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04.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0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9.2017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992 191,2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890 552,1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січень-вересень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- 100 754,5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вересень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105 792,4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вересень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- 101 639,2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476250</xdr:colOff>
      <xdr:row>29</xdr:row>
      <xdr:rowOff>47625</xdr:rowOff>
    </xdr:from>
    <xdr:to>
      <xdr:col>14</xdr:col>
      <xdr:colOff>228600</xdr:colOff>
      <xdr:row>46</xdr:row>
      <xdr:rowOff>133350</xdr:rowOff>
    </xdr:to>
    <xdr:graphicFrame>
      <xdr:nvGraphicFramePr>
        <xdr:cNvPr id="13" name="Диаграмма 1"/>
        <xdr:cNvGraphicFramePr/>
      </xdr:nvGraphicFramePr>
      <xdr:xfrm>
        <a:off x="476250" y="5657850"/>
        <a:ext cx="969645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0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305425"/>
        <a:ext cx="1150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vikonannya%2007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vikonannya%20310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1">
        <row r="97">
          <cell r="D97">
            <v>1</v>
          </cell>
        </row>
      </sheetData>
      <sheetData sheetId="2">
        <row r="97">
          <cell r="D97">
            <v>225.52589</v>
          </cell>
        </row>
      </sheetData>
      <sheetData sheetId="3">
        <row r="97">
          <cell r="D97">
            <v>1135.71022</v>
          </cell>
        </row>
      </sheetData>
      <sheetData sheetId="4">
        <row r="97">
          <cell r="D97">
            <v>102.57358</v>
          </cell>
        </row>
      </sheetData>
      <sheetData sheetId="5">
        <row r="97">
          <cell r="D97">
            <v>1399.2856000000002</v>
          </cell>
        </row>
      </sheetData>
      <sheetData sheetId="6">
        <row r="94">
          <cell r="D94">
            <v>7713.34596</v>
          </cell>
        </row>
      </sheetData>
      <sheetData sheetId="7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"/>
      <sheetName val="трансф"/>
      <sheetName val="Лист1"/>
      <sheetName val="розв-2"/>
      <sheetName val="розв"/>
      <sheetName val="240603-2"/>
      <sheetName val="Лист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  (2)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кредити"/>
      <sheetName val="повер ПДФО та трансп"/>
      <sheetName val="2111 з 2003р"/>
      <sheetName val="220102-сертиф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  <sheetDataSet>
      <sheetData sheetId="17">
        <row r="6">
          <cell r="K6">
            <v>61040513.14999994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0">
        <row r="97">
          <cell r="D97">
            <v>50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40" t="s">
        <v>60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2"/>
      <c r="O1" s="1"/>
      <c r="P1" s="143" t="s">
        <v>75</v>
      </c>
      <c r="Q1" s="144"/>
      <c r="R1" s="144"/>
      <c r="S1" s="144"/>
      <c r="T1" s="144"/>
      <c r="U1" s="145"/>
    </row>
    <row r="2" spans="1:21" ht="15" thickBot="1">
      <c r="A2" s="146" t="s">
        <v>65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8"/>
      <c r="O2" s="1"/>
      <c r="P2" s="149" t="s">
        <v>66</v>
      </c>
      <c r="Q2" s="150"/>
      <c r="R2" s="150"/>
      <c r="S2" s="150"/>
      <c r="T2" s="150"/>
      <c r="U2" s="151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52" t="s">
        <v>47</v>
      </c>
      <c r="T3" s="153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54">
        <v>0</v>
      </c>
      <c r="T4" s="155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36">
        <v>0</v>
      </c>
      <c r="T5" s="137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38">
        <v>0</v>
      </c>
      <c r="T6" s="139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38">
        <v>0</v>
      </c>
      <c r="T7" s="139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36">
        <v>0</v>
      </c>
      <c r="T8" s="137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36">
        <v>0</v>
      </c>
      <c r="T9" s="137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36">
        <v>0</v>
      </c>
      <c r="T10" s="137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36">
        <v>0</v>
      </c>
      <c r="T11" s="137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36">
        <v>0</v>
      </c>
      <c r="T12" s="137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36">
        <v>0</v>
      </c>
      <c r="T13" s="137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36">
        <v>0</v>
      </c>
      <c r="T14" s="137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36">
        <v>1</v>
      </c>
      <c r="T15" s="137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36">
        <v>0</v>
      </c>
      <c r="T16" s="137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36">
        <v>0</v>
      </c>
      <c r="T17" s="137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36">
        <v>0</v>
      </c>
      <c r="T18" s="137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36">
        <v>0</v>
      </c>
      <c r="T19" s="137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36">
        <v>0</v>
      </c>
      <c r="T20" s="137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36">
        <v>0</v>
      </c>
      <c r="T21" s="137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36">
        <v>0</v>
      </c>
      <c r="T22" s="137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25">
        <f>SUM(S4:S22)</f>
        <v>1</v>
      </c>
      <c r="T23" s="126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27" t="s">
        <v>33</v>
      </c>
      <c r="Q26" s="127"/>
      <c r="R26" s="127"/>
      <c r="S26" s="127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28" t="s">
        <v>29</v>
      </c>
      <c r="Q27" s="128"/>
      <c r="R27" s="128"/>
      <c r="S27" s="128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29">
        <v>42767</v>
      </c>
      <c r="Q28" s="132">
        <f>'[2]січень 17'!$D$94</f>
        <v>9505.30341</v>
      </c>
      <c r="R28" s="132"/>
      <c r="S28" s="132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30"/>
      <c r="Q29" s="132"/>
      <c r="R29" s="132"/>
      <c r="S29" s="132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33" t="s">
        <v>45</v>
      </c>
      <c r="R31" s="134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35" t="s">
        <v>40</v>
      </c>
      <c r="R32" s="135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27" t="s">
        <v>30</v>
      </c>
      <c r="Q36" s="127"/>
      <c r="R36" s="127"/>
      <c r="S36" s="127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24" t="s">
        <v>31</v>
      </c>
      <c r="Q37" s="124"/>
      <c r="R37" s="124"/>
      <c r="S37" s="124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29">
        <v>42767</v>
      </c>
      <c r="Q38" s="131">
        <f>104633628.96/1000</f>
        <v>104633.62895999999</v>
      </c>
      <c r="R38" s="131"/>
      <c r="S38" s="131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30"/>
      <c r="Q39" s="131"/>
      <c r="R39" s="131"/>
      <c r="S39" s="131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P36:S36"/>
    <mergeCell ref="S17:T17"/>
    <mergeCell ref="S18:T18"/>
    <mergeCell ref="S19:T19"/>
    <mergeCell ref="S20:T20"/>
    <mergeCell ref="S21:T21"/>
    <mergeCell ref="S22:T22"/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0" width="9.125" style="1" customWidth="1"/>
    <col min="11" max="16384" width="9.125" style="1" customWidth="1"/>
  </cols>
  <sheetData>
    <row r="26" spans="1:14" ht="15" thickBot="1">
      <c r="A26" s="20"/>
      <c r="B26" s="179" t="s">
        <v>116</v>
      </c>
      <c r="C26" s="179"/>
      <c r="D26" s="179"/>
      <c r="E26" s="179"/>
      <c r="F26" s="179"/>
      <c r="G26" s="179"/>
      <c r="H26" s="179"/>
      <c r="I26" s="179"/>
      <c r="J26" s="179"/>
      <c r="K26" s="179"/>
      <c r="L26" s="180"/>
      <c r="M26" s="180"/>
      <c r="N26" s="180"/>
    </row>
    <row r="27" spans="1:16" ht="54" customHeight="1">
      <c r="A27" s="174" t="s">
        <v>32</v>
      </c>
      <c r="B27" s="170" t="s">
        <v>43</v>
      </c>
      <c r="C27" s="170"/>
      <c r="D27" s="164" t="s">
        <v>49</v>
      </c>
      <c r="E27" s="176"/>
      <c r="F27" s="177" t="s">
        <v>44</v>
      </c>
      <c r="G27" s="163"/>
      <c r="H27" s="178" t="s">
        <v>52</v>
      </c>
      <c r="I27" s="164"/>
      <c r="J27" s="171"/>
      <c r="K27" s="172"/>
      <c r="L27" s="167" t="s">
        <v>36</v>
      </c>
      <c r="M27" s="168"/>
      <c r="N27" s="169"/>
      <c r="O27" s="161" t="s">
        <v>117</v>
      </c>
      <c r="P27" s="162"/>
    </row>
    <row r="28" spans="1:16" ht="30.75" customHeight="1">
      <c r="A28" s="175"/>
      <c r="B28" s="48" t="s">
        <v>118</v>
      </c>
      <c r="C28" s="22" t="s">
        <v>23</v>
      </c>
      <c r="D28" s="48" t="str">
        <f>B28</f>
        <v>план на січень-вересень 2017р.</v>
      </c>
      <c r="E28" s="22" t="str">
        <f>C28</f>
        <v>факт</v>
      </c>
      <c r="F28" s="47" t="str">
        <f>B28</f>
        <v>план на січень-вересень 2017р.</v>
      </c>
      <c r="G28" s="62" t="str">
        <f>C28</f>
        <v>факт</v>
      </c>
      <c r="H28" s="48" t="str">
        <f>B28</f>
        <v>план на січень-вересень 2017р.</v>
      </c>
      <c r="I28" s="22" t="str">
        <f>C28</f>
        <v>факт</v>
      </c>
      <c r="J28" s="47"/>
      <c r="K28" s="62"/>
      <c r="L28" s="45" t="str">
        <f>D28</f>
        <v>план на січень-вересень 2017р.</v>
      </c>
      <c r="M28" s="22" t="str">
        <f>C28</f>
        <v>факт</v>
      </c>
      <c r="N28" s="46" t="s">
        <v>24</v>
      </c>
      <c r="O28" s="163"/>
      <c r="P28" s="164"/>
    </row>
    <row r="29" spans="1:16" ht="23.25" customHeight="1" thickBot="1">
      <c r="A29" s="44">
        <f>вересень!S40</f>
        <v>61040.51314999994</v>
      </c>
      <c r="B29" s="49">
        <v>26430</v>
      </c>
      <c r="C29" s="49">
        <v>5970.15</v>
      </c>
      <c r="D29" s="49">
        <v>39500</v>
      </c>
      <c r="E29" s="49">
        <v>3.81</v>
      </c>
      <c r="F29" s="49">
        <v>27750</v>
      </c>
      <c r="G29" s="49">
        <v>8452.48</v>
      </c>
      <c r="H29" s="49">
        <v>9</v>
      </c>
      <c r="I29" s="49">
        <v>9</v>
      </c>
      <c r="J29" s="49"/>
      <c r="K29" s="49"/>
      <c r="L29" s="63">
        <f>H29+F29+D29+J29+B29</f>
        <v>93689</v>
      </c>
      <c r="M29" s="50">
        <f>C29+E29+G29+I29</f>
        <v>14435.439999999999</v>
      </c>
      <c r="N29" s="51">
        <f>M29-L29</f>
        <v>-79253.56</v>
      </c>
      <c r="O29" s="165">
        <f>вересень!S30</f>
        <v>8626.34759</v>
      </c>
      <c r="P29" s="166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70"/>
      <c r="P30" s="170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547140</v>
      </c>
      <c r="C48" s="32">
        <v>486778.02</v>
      </c>
      <c r="F48" s="1" t="s">
        <v>22</v>
      </c>
      <c r="G48" s="6"/>
      <c r="H48" s="173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136433</v>
      </c>
      <c r="C49" s="32">
        <v>120388.4</v>
      </c>
      <c r="G49" s="6"/>
      <c r="H49" s="173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149912.7</v>
      </c>
      <c r="C50" s="32">
        <v>151184.89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17259.1</v>
      </c>
      <c r="C51" s="32">
        <v>16924.54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94800</v>
      </c>
      <c r="C52" s="32">
        <v>64720.32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5460</v>
      </c>
      <c r="C53" s="32">
        <v>4333.34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22100</v>
      </c>
      <c r="C54" s="32">
        <v>20495.01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19086.400000000052</v>
      </c>
      <c r="C55" s="12">
        <v>25727.529999999864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992191.2000000001</v>
      </c>
      <c r="C56" s="9">
        <v>890552.0499999999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26430</v>
      </c>
      <c r="C58" s="9">
        <f>C29</f>
        <v>5970.15</v>
      </c>
    </row>
    <row r="59" spans="1:3" ht="25.5">
      <c r="A59" s="83" t="s">
        <v>54</v>
      </c>
      <c r="B59" s="9">
        <f>D29</f>
        <v>39500</v>
      </c>
      <c r="C59" s="9">
        <f>E29</f>
        <v>3.81</v>
      </c>
    </row>
    <row r="60" spans="1:3" ht="12.75">
      <c r="A60" s="83" t="s">
        <v>55</v>
      </c>
      <c r="B60" s="9">
        <f>F29</f>
        <v>27750</v>
      </c>
      <c r="C60" s="9">
        <f>G29</f>
        <v>8452.48</v>
      </c>
    </row>
    <row r="61" spans="1:3" ht="25.5">
      <c r="A61" s="83" t="s">
        <v>56</v>
      </c>
      <c r="B61" s="9">
        <f>H29</f>
        <v>9</v>
      </c>
      <c r="C61" s="9">
        <f>I29</f>
        <v>9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32" sqref="G32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82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8500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-560</v>
      </c>
      <c r="K7" s="18">
        <f t="shared" si="0"/>
        <v>-2800</v>
      </c>
      <c r="L7" s="18">
        <f t="shared" si="0"/>
        <v>-8890</v>
      </c>
      <c r="M7" s="18">
        <f t="shared" si="0"/>
        <v>-4250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>
        <v>42821</v>
      </c>
      <c r="B9" s="30"/>
      <c r="C9" s="30"/>
      <c r="D9" s="30">
        <v>8500</v>
      </c>
      <c r="E9" s="30"/>
      <c r="F9" s="30"/>
      <c r="G9" s="30"/>
      <c r="H9" s="30"/>
      <c r="I9" s="30"/>
      <c r="J9" s="30">
        <v>-260</v>
      </c>
      <c r="K9" s="30">
        <v>-200</v>
      </c>
      <c r="L9" s="30">
        <v>-5090</v>
      </c>
      <c r="M9" s="30">
        <v>-2950</v>
      </c>
      <c r="N9" s="31">
        <f t="shared" si="1"/>
        <v>0</v>
      </c>
    </row>
    <row r="10" spans="1:14" ht="12.75" hidden="1">
      <c r="A10" s="29" t="s">
        <v>67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102834.8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105792.4</v>
      </c>
      <c r="K17" s="34">
        <f t="shared" si="2"/>
        <v>122580.1</v>
      </c>
      <c r="L17" s="34">
        <f t="shared" si="2"/>
        <v>119162</v>
      </c>
      <c r="M17" s="34">
        <f t="shared" si="2"/>
        <v>123557.8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2" sqref="B22:B23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40" t="s">
        <v>70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2"/>
      <c r="O1" s="1"/>
      <c r="P1" s="143" t="s">
        <v>74</v>
      </c>
      <c r="Q1" s="144"/>
      <c r="R1" s="144"/>
      <c r="S1" s="144"/>
      <c r="T1" s="144"/>
      <c r="U1" s="145"/>
    </row>
    <row r="2" spans="1:21" ht="15" thickBot="1">
      <c r="A2" s="146" t="s">
        <v>72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8"/>
      <c r="O2" s="1"/>
      <c r="P2" s="149" t="s">
        <v>73</v>
      </c>
      <c r="Q2" s="150"/>
      <c r="R2" s="150"/>
      <c r="S2" s="150"/>
      <c r="T2" s="150"/>
      <c r="U2" s="151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58" t="s">
        <v>47</v>
      </c>
      <c r="T3" s="159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54">
        <v>0</v>
      </c>
      <c r="T4" s="155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36">
        <v>0</v>
      </c>
      <c r="T5" s="137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38">
        <v>0</v>
      </c>
      <c r="T6" s="139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38">
        <v>1</v>
      </c>
      <c r="T7" s="139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36">
        <v>0</v>
      </c>
      <c r="T8" s="137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36">
        <v>0</v>
      </c>
      <c r="T9" s="137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36">
        <v>0</v>
      </c>
      <c r="T10" s="137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36">
        <v>0</v>
      </c>
      <c r="T11" s="137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36">
        <v>0</v>
      </c>
      <c r="T12" s="137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36">
        <v>0</v>
      </c>
      <c r="T13" s="137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36">
        <v>0</v>
      </c>
      <c r="T14" s="137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36">
        <v>0</v>
      </c>
      <c r="T15" s="137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36">
        <v>0</v>
      </c>
      <c r="T16" s="137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36">
        <v>0</v>
      </c>
      <c r="T17" s="137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36">
        <v>0</v>
      </c>
      <c r="T18" s="137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36">
        <v>0</v>
      </c>
      <c r="T19" s="137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36">
        <v>0</v>
      </c>
      <c r="T20" s="137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36">
        <v>0</v>
      </c>
      <c r="T21" s="137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36">
        <v>0</v>
      </c>
      <c r="T22" s="137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56">
        <v>0</v>
      </c>
      <c r="T23" s="157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25">
        <f>SUM(S4:S23)</f>
        <v>1</v>
      </c>
      <c r="T24" s="126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27" t="s">
        <v>33</v>
      </c>
      <c r="Q27" s="127"/>
      <c r="R27" s="127"/>
      <c r="S27" s="127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28" t="s">
        <v>29</v>
      </c>
      <c r="Q28" s="128"/>
      <c r="R28" s="128"/>
      <c r="S28" s="128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29">
        <v>42795</v>
      </c>
      <c r="Q29" s="132">
        <f>'[2]лютий'!$D$94</f>
        <v>7713.34596</v>
      </c>
      <c r="R29" s="132"/>
      <c r="S29" s="132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30"/>
      <c r="Q30" s="132"/>
      <c r="R30" s="132"/>
      <c r="S30" s="132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33" t="s">
        <v>45</v>
      </c>
      <c r="R32" s="134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35" t="s">
        <v>40</v>
      </c>
      <c r="R33" s="135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27" t="s">
        <v>30</v>
      </c>
      <c r="Q37" s="127"/>
      <c r="R37" s="127"/>
      <c r="S37" s="127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24" t="s">
        <v>31</v>
      </c>
      <c r="Q38" s="124"/>
      <c r="R38" s="124"/>
      <c r="S38" s="124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29">
        <v>42795</v>
      </c>
      <c r="Q39" s="131">
        <v>115182.07822999997</v>
      </c>
      <c r="R39" s="131"/>
      <c r="S39" s="131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30"/>
      <c r="Q40" s="131"/>
      <c r="R40" s="131"/>
      <c r="S40" s="131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Q29:S30"/>
    <mergeCell ref="Q32:R32"/>
    <mergeCell ref="S17:T17"/>
    <mergeCell ref="S18:T18"/>
    <mergeCell ref="S19:T19"/>
    <mergeCell ref="S20:T20"/>
    <mergeCell ref="S22:T22"/>
    <mergeCell ref="S23:T23"/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3" sqref="E1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0" t="s">
        <v>77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2"/>
      <c r="Q1" s="1"/>
      <c r="R1" s="143" t="s">
        <v>78</v>
      </c>
      <c r="S1" s="144"/>
      <c r="T1" s="144"/>
      <c r="U1" s="144"/>
      <c r="V1" s="144"/>
      <c r="W1" s="145"/>
    </row>
    <row r="2" spans="1:23" ht="15" thickBot="1">
      <c r="A2" s="146" t="s">
        <v>83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8"/>
      <c r="Q2" s="1"/>
      <c r="R2" s="149" t="s">
        <v>84</v>
      </c>
      <c r="S2" s="150"/>
      <c r="T2" s="150"/>
      <c r="U2" s="150"/>
      <c r="V2" s="150"/>
      <c r="W2" s="151"/>
    </row>
    <row r="3" spans="1:23" ht="65.25" thickBot="1">
      <c r="A3" s="26" t="s">
        <v>0</v>
      </c>
      <c r="B3" s="33" t="s">
        <v>1</v>
      </c>
      <c r="C3" s="67" t="s">
        <v>81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76</v>
      </c>
      <c r="O3" s="66" t="s">
        <v>57</v>
      </c>
      <c r="P3" s="27" t="s">
        <v>6</v>
      </c>
      <c r="Q3" s="1"/>
      <c r="R3" s="98" t="s">
        <v>25</v>
      </c>
      <c r="S3" s="97" t="s">
        <v>26</v>
      </c>
      <c r="T3" s="99" t="s">
        <v>38</v>
      </c>
      <c r="U3" s="158" t="s">
        <v>47</v>
      </c>
      <c r="V3" s="159"/>
      <c r="W3" s="100" t="s">
        <v>27</v>
      </c>
    </row>
    <row r="4" spans="1:23" ht="12.75">
      <c r="A4" s="10">
        <v>42795</v>
      </c>
      <c r="B4" s="69">
        <v>1368.9</v>
      </c>
      <c r="C4" s="86">
        <v>136.4</v>
      </c>
      <c r="D4" s="113">
        <f>C4</f>
        <v>136.4</v>
      </c>
      <c r="E4" s="113"/>
      <c r="F4" s="69">
        <v>-15.4</v>
      </c>
      <c r="G4" s="69">
        <v>320.2</v>
      </c>
      <c r="H4" s="73">
        <v>220.7</v>
      </c>
      <c r="I4" s="85">
        <v>81.8</v>
      </c>
      <c r="J4" s="85">
        <v>17.4</v>
      </c>
      <c r="K4" s="85">
        <v>0</v>
      </c>
      <c r="L4" s="69">
        <v>2585.5</v>
      </c>
      <c r="M4" s="69">
        <f aca="true" t="shared" si="0" ref="M4:M25">N4-B4-C4-F4-G4-H4-I4-J4-K4-L4</f>
        <v>28</v>
      </c>
      <c r="N4" s="69">
        <v>4743.5</v>
      </c>
      <c r="O4" s="69">
        <v>4700</v>
      </c>
      <c r="P4" s="3">
        <f aca="true" t="shared" si="1" ref="P4:P25">N4/O4</f>
        <v>1.0092553191489362</v>
      </c>
      <c r="Q4" s="2">
        <f>AVERAGE(N4:N25)</f>
        <v>4722.842272727273</v>
      </c>
      <c r="R4" s="101">
        <v>0</v>
      </c>
      <c r="S4" s="102">
        <v>0</v>
      </c>
      <c r="T4" s="103">
        <v>1</v>
      </c>
      <c r="U4" s="154">
        <v>0</v>
      </c>
      <c r="V4" s="155"/>
      <c r="W4" s="104">
        <f>R4+S4+U4+T4+V4</f>
        <v>1</v>
      </c>
    </row>
    <row r="5" spans="1:23" ht="12.75">
      <c r="A5" s="10">
        <v>42796</v>
      </c>
      <c r="B5" s="69">
        <v>2770.05</v>
      </c>
      <c r="C5" s="86">
        <v>129.25</v>
      </c>
      <c r="D5" s="113">
        <f aca="true" t="shared" si="2" ref="D5:D12">C5</f>
        <v>129.25</v>
      </c>
      <c r="E5" s="113"/>
      <c r="F5" s="69">
        <v>20</v>
      </c>
      <c r="G5" s="69">
        <v>1170.9</v>
      </c>
      <c r="H5" s="86">
        <v>178.1</v>
      </c>
      <c r="I5" s="85">
        <v>56.9</v>
      </c>
      <c r="J5" s="85">
        <v>12.6</v>
      </c>
      <c r="K5" s="85">
        <v>0</v>
      </c>
      <c r="L5" s="69">
        <v>0</v>
      </c>
      <c r="M5" s="69">
        <f t="shared" si="0"/>
        <v>-184.86999999999998</v>
      </c>
      <c r="N5" s="69">
        <v>4152.93</v>
      </c>
      <c r="O5" s="69">
        <v>2100</v>
      </c>
      <c r="P5" s="3">
        <f t="shared" si="1"/>
        <v>1.9775857142857145</v>
      </c>
      <c r="Q5" s="2">
        <v>4722.8</v>
      </c>
      <c r="R5" s="75">
        <v>0</v>
      </c>
      <c r="S5" s="69">
        <v>0</v>
      </c>
      <c r="T5" s="76">
        <v>0</v>
      </c>
      <c r="U5" s="136">
        <v>0</v>
      </c>
      <c r="V5" s="137"/>
      <c r="W5" s="74">
        <f aca="true" t="shared" si="3" ref="W5:W25">R5+S5+U5+T5+V5</f>
        <v>0</v>
      </c>
    </row>
    <row r="6" spans="1:23" ht="12.75">
      <c r="A6" s="10">
        <v>42797</v>
      </c>
      <c r="B6" s="69">
        <v>2488.2</v>
      </c>
      <c r="C6" s="86">
        <v>3.5</v>
      </c>
      <c r="D6" s="113">
        <f t="shared" si="2"/>
        <v>3.5</v>
      </c>
      <c r="E6" s="113"/>
      <c r="F6" s="78">
        <v>21.4</v>
      </c>
      <c r="G6" s="69">
        <v>147.8</v>
      </c>
      <c r="H6" s="87">
        <v>346.3</v>
      </c>
      <c r="I6" s="85">
        <v>37.4</v>
      </c>
      <c r="J6" s="85">
        <v>4.3</v>
      </c>
      <c r="K6" s="85">
        <v>461.7</v>
      </c>
      <c r="L6" s="85">
        <v>0</v>
      </c>
      <c r="M6" s="69">
        <f t="shared" si="0"/>
        <v>-368.9</v>
      </c>
      <c r="N6" s="69">
        <v>3141.7</v>
      </c>
      <c r="O6" s="69">
        <v>2500</v>
      </c>
      <c r="P6" s="3">
        <f t="shared" si="1"/>
        <v>1.25668</v>
      </c>
      <c r="Q6" s="2">
        <v>4722.8</v>
      </c>
      <c r="R6" s="77">
        <v>0</v>
      </c>
      <c r="S6" s="78">
        <v>0</v>
      </c>
      <c r="T6" s="79">
        <v>0</v>
      </c>
      <c r="U6" s="138">
        <v>0</v>
      </c>
      <c r="V6" s="139"/>
      <c r="W6" s="74">
        <f t="shared" si="3"/>
        <v>0</v>
      </c>
    </row>
    <row r="7" spans="1:23" ht="12.75">
      <c r="A7" s="10">
        <v>42800</v>
      </c>
      <c r="B7" s="84">
        <v>4037.2</v>
      </c>
      <c r="C7" s="86">
        <v>7.1</v>
      </c>
      <c r="D7" s="113">
        <f t="shared" si="2"/>
        <v>7.1</v>
      </c>
      <c r="E7" s="113"/>
      <c r="F7" s="69">
        <v>2.7</v>
      </c>
      <c r="G7" s="69">
        <v>125.5</v>
      </c>
      <c r="H7" s="86">
        <v>453.2</v>
      </c>
      <c r="I7" s="85">
        <v>40.4</v>
      </c>
      <c r="J7" s="85">
        <v>17.2</v>
      </c>
      <c r="K7" s="85">
        <v>0</v>
      </c>
      <c r="L7" s="85">
        <v>0</v>
      </c>
      <c r="M7" s="69">
        <f t="shared" si="0"/>
        <v>8.000000000000309</v>
      </c>
      <c r="N7" s="69">
        <v>4691.3</v>
      </c>
      <c r="O7" s="69">
        <v>4800</v>
      </c>
      <c r="P7" s="3">
        <f t="shared" si="1"/>
        <v>0.9773541666666667</v>
      </c>
      <c r="Q7" s="2">
        <v>4722.8</v>
      </c>
      <c r="R7" s="77">
        <v>0</v>
      </c>
      <c r="S7" s="78">
        <v>0</v>
      </c>
      <c r="T7" s="79">
        <v>0</v>
      </c>
      <c r="U7" s="138">
        <v>1</v>
      </c>
      <c r="V7" s="139"/>
      <c r="W7" s="74">
        <f t="shared" si="3"/>
        <v>1</v>
      </c>
    </row>
    <row r="8" spans="1:23" ht="12.75">
      <c r="A8" s="10">
        <v>42801</v>
      </c>
      <c r="B8" s="69">
        <v>8501.2</v>
      </c>
      <c r="C8" s="76">
        <v>7.08</v>
      </c>
      <c r="D8" s="113">
        <f t="shared" si="2"/>
        <v>7.08</v>
      </c>
      <c r="E8" s="113"/>
      <c r="F8" s="85">
        <v>12.1</v>
      </c>
      <c r="G8" s="85">
        <v>187.9</v>
      </c>
      <c r="H8" s="69">
        <v>734.3</v>
      </c>
      <c r="I8" s="85">
        <v>128.8</v>
      </c>
      <c r="J8" s="85">
        <v>61.8</v>
      </c>
      <c r="K8" s="85">
        <v>0</v>
      </c>
      <c r="L8" s="85">
        <v>0</v>
      </c>
      <c r="M8" s="69">
        <f t="shared" si="0"/>
        <v>9.219999999999132</v>
      </c>
      <c r="N8" s="69">
        <v>9642.4</v>
      </c>
      <c r="O8" s="69">
        <v>7800</v>
      </c>
      <c r="P8" s="3">
        <f t="shared" si="1"/>
        <v>1.236205128205128</v>
      </c>
      <c r="Q8" s="2">
        <v>4722.8</v>
      </c>
      <c r="R8" s="77">
        <v>10</v>
      </c>
      <c r="S8" s="78">
        <v>0</v>
      </c>
      <c r="T8" s="76">
        <v>0</v>
      </c>
      <c r="U8" s="136">
        <v>0</v>
      </c>
      <c r="V8" s="137"/>
      <c r="W8" s="74">
        <f t="shared" si="3"/>
        <v>10</v>
      </c>
    </row>
    <row r="9" spans="1:23" ht="12.75">
      <c r="A9" s="10">
        <v>42803</v>
      </c>
      <c r="B9" s="69">
        <v>934.5</v>
      </c>
      <c r="C9" s="76">
        <v>11.4</v>
      </c>
      <c r="D9" s="113">
        <f t="shared" si="2"/>
        <v>11.4</v>
      </c>
      <c r="E9" s="113"/>
      <c r="F9" s="85">
        <v>9.1</v>
      </c>
      <c r="G9" s="89">
        <v>231</v>
      </c>
      <c r="H9" s="69">
        <v>258</v>
      </c>
      <c r="I9" s="85">
        <v>44.4</v>
      </c>
      <c r="J9" s="85">
        <v>56.4</v>
      </c>
      <c r="K9" s="85">
        <v>0</v>
      </c>
      <c r="L9" s="85">
        <v>0</v>
      </c>
      <c r="M9" s="69">
        <f t="shared" si="0"/>
        <v>10.799999999999905</v>
      </c>
      <c r="N9" s="69">
        <v>1555.6</v>
      </c>
      <c r="O9" s="69">
        <v>2500</v>
      </c>
      <c r="P9" s="3">
        <f t="shared" si="1"/>
        <v>0.62224</v>
      </c>
      <c r="Q9" s="2">
        <v>4722.8</v>
      </c>
      <c r="R9" s="77">
        <v>6</v>
      </c>
      <c r="S9" s="78">
        <v>0</v>
      </c>
      <c r="T9" s="76">
        <v>110.35</v>
      </c>
      <c r="U9" s="136">
        <v>0</v>
      </c>
      <c r="V9" s="137"/>
      <c r="W9" s="74">
        <f t="shared" si="3"/>
        <v>116.35</v>
      </c>
    </row>
    <row r="10" spans="1:23" ht="12.75">
      <c r="A10" s="10">
        <v>42804</v>
      </c>
      <c r="B10" s="69">
        <v>1376.2</v>
      </c>
      <c r="C10" s="76">
        <v>21.95</v>
      </c>
      <c r="D10" s="113">
        <f t="shared" si="2"/>
        <v>21.95</v>
      </c>
      <c r="E10" s="113"/>
      <c r="F10" s="85">
        <v>1.2</v>
      </c>
      <c r="G10" s="85">
        <v>283.6</v>
      </c>
      <c r="H10" s="69">
        <v>308.7</v>
      </c>
      <c r="I10" s="85">
        <v>45.4</v>
      </c>
      <c r="J10" s="85">
        <v>82</v>
      </c>
      <c r="K10" s="85">
        <v>0</v>
      </c>
      <c r="L10" s="85">
        <v>0</v>
      </c>
      <c r="M10" s="69">
        <f t="shared" si="0"/>
        <v>36.25000000000003</v>
      </c>
      <c r="N10" s="69">
        <v>2155.3</v>
      </c>
      <c r="O10" s="78">
        <v>2340</v>
      </c>
      <c r="P10" s="3">
        <f t="shared" si="1"/>
        <v>0.9210683760683761</v>
      </c>
      <c r="Q10" s="2">
        <v>4722.8</v>
      </c>
      <c r="R10" s="77">
        <v>0</v>
      </c>
      <c r="S10" s="78">
        <v>0</v>
      </c>
      <c r="T10" s="76">
        <v>0</v>
      </c>
      <c r="U10" s="136">
        <v>0</v>
      </c>
      <c r="V10" s="137"/>
      <c r="W10" s="74">
        <f>R10+S10+U10+T10+V10</f>
        <v>0</v>
      </c>
    </row>
    <row r="11" spans="1:23" ht="12.75">
      <c r="A11" s="10">
        <v>42807</v>
      </c>
      <c r="B11" s="69">
        <v>683.3</v>
      </c>
      <c r="C11" s="76">
        <v>13.3</v>
      </c>
      <c r="D11" s="113">
        <f t="shared" si="2"/>
        <v>13.3</v>
      </c>
      <c r="E11" s="113"/>
      <c r="F11" s="85">
        <v>23.3</v>
      </c>
      <c r="G11" s="85">
        <v>279.8</v>
      </c>
      <c r="H11" s="69">
        <v>395.7</v>
      </c>
      <c r="I11" s="85">
        <v>48.6</v>
      </c>
      <c r="J11" s="85">
        <v>8.2</v>
      </c>
      <c r="K11" s="85">
        <v>0</v>
      </c>
      <c r="L11" s="85">
        <v>0</v>
      </c>
      <c r="M11" s="69">
        <f t="shared" si="0"/>
        <v>10.800000000000136</v>
      </c>
      <c r="N11" s="69">
        <v>1463</v>
      </c>
      <c r="O11" s="69">
        <v>2150</v>
      </c>
      <c r="P11" s="3">
        <f t="shared" si="1"/>
        <v>0.6804651162790698</v>
      </c>
      <c r="Q11" s="2">
        <v>4722.8</v>
      </c>
      <c r="R11" s="75">
        <v>0</v>
      </c>
      <c r="S11" s="69">
        <v>0</v>
      </c>
      <c r="T11" s="76">
        <v>0.3</v>
      </c>
      <c r="U11" s="136">
        <v>0</v>
      </c>
      <c r="V11" s="137"/>
      <c r="W11" s="74">
        <f t="shared" si="3"/>
        <v>0.3</v>
      </c>
    </row>
    <row r="12" spans="1:23" ht="12.75">
      <c r="A12" s="10">
        <v>42808</v>
      </c>
      <c r="B12" s="84">
        <v>1501.7</v>
      </c>
      <c r="C12" s="76">
        <v>119.3</v>
      </c>
      <c r="D12" s="113">
        <f t="shared" si="2"/>
        <v>119.3</v>
      </c>
      <c r="E12" s="113"/>
      <c r="F12" s="85">
        <v>51.7</v>
      </c>
      <c r="G12" s="85">
        <v>276.2</v>
      </c>
      <c r="H12" s="69">
        <v>522.3</v>
      </c>
      <c r="I12" s="85">
        <v>101.3</v>
      </c>
      <c r="J12" s="85">
        <v>7.5</v>
      </c>
      <c r="K12" s="85">
        <v>0</v>
      </c>
      <c r="L12" s="85">
        <v>0</v>
      </c>
      <c r="M12" s="69">
        <f t="shared" si="0"/>
        <v>6.999999999999957</v>
      </c>
      <c r="N12" s="69">
        <v>2587</v>
      </c>
      <c r="O12" s="69">
        <v>2400</v>
      </c>
      <c r="P12" s="3">
        <f t="shared" si="1"/>
        <v>1.0779166666666666</v>
      </c>
      <c r="Q12" s="2">
        <v>4722.8</v>
      </c>
      <c r="R12" s="75">
        <v>0</v>
      </c>
      <c r="S12" s="69">
        <v>0</v>
      </c>
      <c r="T12" s="76">
        <v>0</v>
      </c>
      <c r="U12" s="136">
        <v>0</v>
      </c>
      <c r="V12" s="137"/>
      <c r="W12" s="74">
        <f t="shared" si="3"/>
        <v>0</v>
      </c>
    </row>
    <row r="13" spans="1:23" ht="12.75">
      <c r="A13" s="10">
        <v>42809</v>
      </c>
      <c r="B13" s="69">
        <v>6081.7</v>
      </c>
      <c r="C13" s="76">
        <v>7515.3</v>
      </c>
      <c r="D13" s="113">
        <f aca="true" t="shared" si="4" ref="D13:D25">C13-E13</f>
        <v>17.980000000000473</v>
      </c>
      <c r="E13" s="113">
        <f>1494.74+6002.58</f>
        <v>7497.32</v>
      </c>
      <c r="F13" s="85">
        <v>2.4</v>
      </c>
      <c r="G13" s="85">
        <v>394.4</v>
      </c>
      <c r="H13" s="69">
        <v>543</v>
      </c>
      <c r="I13" s="85">
        <v>84.1</v>
      </c>
      <c r="J13" s="85">
        <v>20.1</v>
      </c>
      <c r="K13" s="85">
        <v>0</v>
      </c>
      <c r="L13" s="85">
        <v>0</v>
      </c>
      <c r="M13" s="69">
        <f t="shared" si="0"/>
        <v>11.299999999998299</v>
      </c>
      <c r="N13" s="69">
        <v>14652.3</v>
      </c>
      <c r="O13" s="69">
        <v>6800</v>
      </c>
      <c r="P13" s="3">
        <f t="shared" si="1"/>
        <v>2.15475</v>
      </c>
      <c r="Q13" s="2">
        <v>4722.8</v>
      </c>
      <c r="R13" s="75">
        <v>0</v>
      </c>
      <c r="S13" s="69">
        <v>0</v>
      </c>
      <c r="T13" s="76">
        <v>0</v>
      </c>
      <c r="U13" s="136">
        <v>0</v>
      </c>
      <c r="V13" s="137"/>
      <c r="W13" s="74">
        <f t="shared" si="3"/>
        <v>0</v>
      </c>
    </row>
    <row r="14" spans="1:23" ht="12.75">
      <c r="A14" s="10">
        <v>42810</v>
      </c>
      <c r="B14" s="69">
        <v>2486.5</v>
      </c>
      <c r="C14" s="76">
        <v>205.9</v>
      </c>
      <c r="D14" s="113">
        <f t="shared" si="4"/>
        <v>32.72999999999999</v>
      </c>
      <c r="E14" s="113">
        <f>69.56+103.61</f>
        <v>173.17000000000002</v>
      </c>
      <c r="F14" s="85">
        <v>1</v>
      </c>
      <c r="G14" s="85">
        <v>640.7</v>
      </c>
      <c r="H14" s="69">
        <v>521.2</v>
      </c>
      <c r="I14" s="85">
        <v>44.6</v>
      </c>
      <c r="J14" s="85">
        <v>12.7</v>
      </c>
      <c r="K14" s="85">
        <v>0</v>
      </c>
      <c r="L14" s="85">
        <v>0</v>
      </c>
      <c r="M14" s="69">
        <f t="shared" si="0"/>
        <v>101.89999999999982</v>
      </c>
      <c r="N14" s="69">
        <v>4014.5</v>
      </c>
      <c r="O14" s="69">
        <v>6500</v>
      </c>
      <c r="P14" s="3">
        <f t="shared" si="1"/>
        <v>0.6176153846153846</v>
      </c>
      <c r="Q14" s="2">
        <v>4722.8</v>
      </c>
      <c r="R14" s="75">
        <v>0</v>
      </c>
      <c r="S14" s="69">
        <v>0</v>
      </c>
      <c r="T14" s="80">
        <v>0</v>
      </c>
      <c r="U14" s="136">
        <v>0</v>
      </c>
      <c r="V14" s="137"/>
      <c r="W14" s="74">
        <f t="shared" si="3"/>
        <v>0</v>
      </c>
    </row>
    <row r="15" spans="1:23" ht="12.75">
      <c r="A15" s="10">
        <v>42811</v>
      </c>
      <c r="B15" s="69">
        <v>2037.4</v>
      </c>
      <c r="C15" s="70">
        <v>185.5</v>
      </c>
      <c r="D15" s="113">
        <f t="shared" si="4"/>
        <v>83.66</v>
      </c>
      <c r="E15" s="113">
        <f>3.25+98.59</f>
        <v>101.84</v>
      </c>
      <c r="F15" s="88">
        <v>34.4</v>
      </c>
      <c r="G15" s="88">
        <v>350</v>
      </c>
      <c r="H15" s="89">
        <v>804.4</v>
      </c>
      <c r="I15" s="88">
        <v>40.4</v>
      </c>
      <c r="J15" s="88">
        <v>15.5</v>
      </c>
      <c r="K15" s="88">
        <v>0</v>
      </c>
      <c r="L15" s="88">
        <v>0</v>
      </c>
      <c r="M15" s="69">
        <f t="shared" si="0"/>
        <v>9.09999999999966</v>
      </c>
      <c r="N15" s="69">
        <v>3476.7</v>
      </c>
      <c r="O15" s="78">
        <v>2500</v>
      </c>
      <c r="P15" s="3">
        <f>N15/O15</f>
        <v>1.39068</v>
      </c>
      <c r="Q15" s="2">
        <v>4722.8</v>
      </c>
      <c r="R15" s="75">
        <v>0</v>
      </c>
      <c r="S15" s="69">
        <v>0</v>
      </c>
      <c r="T15" s="80">
        <v>0</v>
      </c>
      <c r="U15" s="136">
        <v>0</v>
      </c>
      <c r="V15" s="137"/>
      <c r="W15" s="74">
        <f t="shared" si="3"/>
        <v>0</v>
      </c>
    </row>
    <row r="16" spans="1:23" ht="12.75">
      <c r="A16" s="10">
        <v>42814</v>
      </c>
      <c r="B16" s="69">
        <v>3016.8</v>
      </c>
      <c r="C16" s="76">
        <v>243.9</v>
      </c>
      <c r="D16" s="113">
        <f t="shared" si="4"/>
        <v>109.16000000000003</v>
      </c>
      <c r="E16" s="113">
        <f>0.57+134.17</f>
        <v>134.73999999999998</v>
      </c>
      <c r="F16" s="85">
        <v>28.5</v>
      </c>
      <c r="G16" s="85">
        <v>430</v>
      </c>
      <c r="H16" s="69">
        <v>622.6</v>
      </c>
      <c r="I16" s="85">
        <v>57.6</v>
      </c>
      <c r="J16" s="85">
        <v>2.7</v>
      </c>
      <c r="K16" s="85">
        <v>0</v>
      </c>
      <c r="L16" s="85">
        <v>0</v>
      </c>
      <c r="M16" s="69">
        <f t="shared" si="0"/>
        <v>10.199999999999886</v>
      </c>
      <c r="N16" s="69">
        <v>4412.3</v>
      </c>
      <c r="O16" s="78">
        <v>2490</v>
      </c>
      <c r="P16" s="3">
        <f t="shared" si="1"/>
        <v>1.772008032128514</v>
      </c>
      <c r="Q16" s="2">
        <v>4722.8</v>
      </c>
      <c r="R16" s="75">
        <v>0</v>
      </c>
      <c r="S16" s="69">
        <v>0</v>
      </c>
      <c r="T16" s="80">
        <v>0</v>
      </c>
      <c r="U16" s="136">
        <v>0</v>
      </c>
      <c r="V16" s="137"/>
      <c r="W16" s="74">
        <f t="shared" si="3"/>
        <v>0</v>
      </c>
    </row>
    <row r="17" spans="1:23" ht="12.75">
      <c r="A17" s="10">
        <v>42815</v>
      </c>
      <c r="B17" s="69">
        <v>2361.4</v>
      </c>
      <c r="C17" s="76">
        <v>456.1</v>
      </c>
      <c r="D17" s="113">
        <f t="shared" si="4"/>
        <v>205.27</v>
      </c>
      <c r="E17" s="113">
        <f>250.83</f>
        <v>250.83</v>
      </c>
      <c r="F17" s="85">
        <v>13.3</v>
      </c>
      <c r="G17" s="85">
        <v>445.1</v>
      </c>
      <c r="H17" s="69">
        <v>266.5</v>
      </c>
      <c r="I17" s="85">
        <v>90.95</v>
      </c>
      <c r="J17" s="85">
        <v>4.8</v>
      </c>
      <c r="K17" s="85">
        <v>0</v>
      </c>
      <c r="L17" s="85">
        <v>0</v>
      </c>
      <c r="M17" s="69">
        <f t="shared" si="0"/>
        <v>13.349999999999905</v>
      </c>
      <c r="N17" s="69">
        <v>3651.5</v>
      </c>
      <c r="O17" s="69">
        <v>3400</v>
      </c>
      <c r="P17" s="3">
        <f t="shared" si="1"/>
        <v>1.0739705882352941</v>
      </c>
      <c r="Q17" s="2">
        <v>4722.8</v>
      </c>
      <c r="R17" s="75">
        <v>7.6</v>
      </c>
      <c r="S17" s="69">
        <v>0</v>
      </c>
      <c r="T17" s="80">
        <v>0</v>
      </c>
      <c r="U17" s="136">
        <v>0</v>
      </c>
      <c r="V17" s="137"/>
      <c r="W17" s="74">
        <f t="shared" si="3"/>
        <v>7.6</v>
      </c>
    </row>
    <row r="18" spans="1:23" ht="12.75">
      <c r="A18" s="10">
        <v>42816</v>
      </c>
      <c r="B18" s="69">
        <v>2596.1</v>
      </c>
      <c r="C18" s="76">
        <v>1446.4</v>
      </c>
      <c r="D18" s="113">
        <f t="shared" si="4"/>
        <v>1317.1000000000001</v>
      </c>
      <c r="E18" s="113">
        <f>26.2+103.1</f>
        <v>129.29999999999998</v>
      </c>
      <c r="F18" s="85">
        <v>11.04</v>
      </c>
      <c r="G18" s="85">
        <v>623.3</v>
      </c>
      <c r="H18" s="69">
        <v>85.8</v>
      </c>
      <c r="I18" s="85">
        <v>40.4</v>
      </c>
      <c r="J18" s="85">
        <v>0.1</v>
      </c>
      <c r="K18" s="85">
        <v>0</v>
      </c>
      <c r="L18" s="85">
        <v>0</v>
      </c>
      <c r="M18" s="69">
        <f t="shared" si="0"/>
        <v>8.059999999999905</v>
      </c>
      <c r="N18" s="69">
        <v>4811.2</v>
      </c>
      <c r="O18" s="69">
        <v>5700</v>
      </c>
      <c r="P18" s="3">
        <f>N18/O18</f>
        <v>0.8440701754385964</v>
      </c>
      <c r="Q18" s="2">
        <v>4722.8</v>
      </c>
      <c r="R18" s="75">
        <v>0</v>
      </c>
      <c r="S18" s="69">
        <v>0</v>
      </c>
      <c r="T18" s="76">
        <v>0</v>
      </c>
      <c r="U18" s="136">
        <v>0</v>
      </c>
      <c r="V18" s="137"/>
      <c r="W18" s="74">
        <f t="shared" si="3"/>
        <v>0</v>
      </c>
    </row>
    <row r="19" spans="1:23" ht="12.75">
      <c r="A19" s="10">
        <v>42817</v>
      </c>
      <c r="B19" s="69">
        <v>1483.3</v>
      </c>
      <c r="C19" s="76">
        <v>127.5</v>
      </c>
      <c r="D19" s="113">
        <f t="shared" si="4"/>
        <v>15.200000000000003</v>
      </c>
      <c r="E19" s="113">
        <v>112.3</v>
      </c>
      <c r="F19" s="85">
        <v>19.2</v>
      </c>
      <c r="G19" s="85">
        <v>552.2</v>
      </c>
      <c r="H19" s="69">
        <v>76.5</v>
      </c>
      <c r="I19" s="85">
        <v>64.4</v>
      </c>
      <c r="J19" s="85">
        <v>3.5</v>
      </c>
      <c r="K19" s="85">
        <v>0</v>
      </c>
      <c r="L19" s="85">
        <v>0</v>
      </c>
      <c r="M19" s="69">
        <f t="shared" si="0"/>
        <v>96.89999999999995</v>
      </c>
      <c r="N19" s="69">
        <v>2423.5</v>
      </c>
      <c r="O19" s="69">
        <v>4600</v>
      </c>
      <c r="P19" s="3">
        <f t="shared" si="1"/>
        <v>0.5268478260869566</v>
      </c>
      <c r="Q19" s="2">
        <v>4722.8</v>
      </c>
      <c r="R19" s="75">
        <v>0</v>
      </c>
      <c r="S19" s="69">
        <v>0</v>
      </c>
      <c r="T19" s="76">
        <v>0</v>
      </c>
      <c r="U19" s="136">
        <v>0</v>
      </c>
      <c r="V19" s="137"/>
      <c r="W19" s="74">
        <f t="shared" si="3"/>
        <v>0</v>
      </c>
    </row>
    <row r="20" spans="1:23" ht="12.75">
      <c r="A20" s="10">
        <v>42818</v>
      </c>
      <c r="B20" s="69">
        <v>750.4</v>
      </c>
      <c r="C20" s="76">
        <v>186.5</v>
      </c>
      <c r="D20" s="113">
        <f t="shared" si="4"/>
        <v>14.599999999999994</v>
      </c>
      <c r="E20" s="113">
        <f>39.5+132.4</f>
        <v>171.9</v>
      </c>
      <c r="F20" s="85">
        <v>53.1</v>
      </c>
      <c r="G20" s="69">
        <v>657.9</v>
      </c>
      <c r="H20" s="69">
        <v>157.1</v>
      </c>
      <c r="I20" s="85">
        <v>86</v>
      </c>
      <c r="J20" s="85">
        <v>6.3</v>
      </c>
      <c r="K20" s="85">
        <v>0</v>
      </c>
      <c r="L20" s="85">
        <v>0</v>
      </c>
      <c r="M20" s="69">
        <f t="shared" si="0"/>
        <v>15.400000000000187</v>
      </c>
      <c r="N20" s="69">
        <v>1912.7</v>
      </c>
      <c r="O20" s="69">
        <v>4330</v>
      </c>
      <c r="P20" s="3">
        <f t="shared" si="1"/>
        <v>0.4417321016166282</v>
      </c>
      <c r="Q20" s="2">
        <v>4722.8</v>
      </c>
      <c r="R20" s="75">
        <v>8.7</v>
      </c>
      <c r="S20" s="69">
        <v>0</v>
      </c>
      <c r="T20" s="76">
        <v>0</v>
      </c>
      <c r="U20" s="136">
        <v>0</v>
      </c>
      <c r="V20" s="137"/>
      <c r="W20" s="74">
        <f t="shared" si="3"/>
        <v>8.7</v>
      </c>
    </row>
    <row r="21" spans="1:23" ht="12.75">
      <c r="A21" s="10">
        <v>42821</v>
      </c>
      <c r="B21" s="69">
        <v>401.7</v>
      </c>
      <c r="C21" s="76">
        <v>532.2</v>
      </c>
      <c r="D21" s="113">
        <f t="shared" si="4"/>
        <v>295.30000000000007</v>
      </c>
      <c r="E21" s="113">
        <f>128.9+108</f>
        <v>236.9</v>
      </c>
      <c r="F21" s="85">
        <v>26.9</v>
      </c>
      <c r="G21" s="69">
        <v>933.3</v>
      </c>
      <c r="H21" s="69">
        <v>168.2</v>
      </c>
      <c r="I21" s="85">
        <v>62.7</v>
      </c>
      <c r="J21" s="85">
        <v>3.6</v>
      </c>
      <c r="K21" s="85">
        <v>0</v>
      </c>
      <c r="L21" s="85">
        <v>0</v>
      </c>
      <c r="M21" s="69">
        <f t="shared" si="0"/>
        <v>-9.500000000000218</v>
      </c>
      <c r="N21" s="69">
        <v>2119.1</v>
      </c>
      <c r="O21" s="69">
        <v>3950</v>
      </c>
      <c r="P21" s="3">
        <f t="shared" si="1"/>
        <v>0.5364810126582278</v>
      </c>
      <c r="Q21" s="2">
        <v>4722.8</v>
      </c>
      <c r="R21" s="75">
        <v>1.9</v>
      </c>
      <c r="S21" s="69">
        <v>0</v>
      </c>
      <c r="T21" s="76">
        <v>0</v>
      </c>
      <c r="U21" s="136">
        <v>0</v>
      </c>
      <c r="V21" s="137"/>
      <c r="W21" s="74">
        <f t="shared" si="3"/>
        <v>1.9</v>
      </c>
    </row>
    <row r="22" spans="1:23" ht="12.75">
      <c r="A22" s="10">
        <v>42822</v>
      </c>
      <c r="B22" s="69">
        <v>474.4</v>
      </c>
      <c r="C22" s="76">
        <v>1053.8</v>
      </c>
      <c r="D22" s="113">
        <f t="shared" si="4"/>
        <v>755.5</v>
      </c>
      <c r="E22" s="113">
        <f>2+296.3</f>
        <v>298.3</v>
      </c>
      <c r="F22" s="85">
        <v>318.95</v>
      </c>
      <c r="G22" s="69">
        <v>1539.4</v>
      </c>
      <c r="H22" s="69">
        <v>379.9</v>
      </c>
      <c r="I22" s="85">
        <v>93.7</v>
      </c>
      <c r="J22" s="85">
        <v>1.8</v>
      </c>
      <c r="K22" s="85">
        <v>0</v>
      </c>
      <c r="L22" s="85">
        <v>0</v>
      </c>
      <c r="M22" s="69">
        <f t="shared" si="0"/>
        <v>8.249999999999883</v>
      </c>
      <c r="N22" s="69">
        <v>3870.2</v>
      </c>
      <c r="O22" s="69">
        <v>4500</v>
      </c>
      <c r="P22" s="3">
        <f t="shared" si="1"/>
        <v>0.8600444444444444</v>
      </c>
      <c r="Q22" s="2">
        <v>4722.8</v>
      </c>
      <c r="R22" s="75">
        <v>73.4</v>
      </c>
      <c r="S22" s="69">
        <v>0</v>
      </c>
      <c r="T22" s="76">
        <v>0</v>
      </c>
      <c r="U22" s="136">
        <v>0</v>
      </c>
      <c r="V22" s="137"/>
      <c r="W22" s="74">
        <f t="shared" si="3"/>
        <v>73.4</v>
      </c>
    </row>
    <row r="23" spans="1:23" ht="12.75">
      <c r="A23" s="10">
        <v>42823</v>
      </c>
      <c r="B23" s="69">
        <v>4778.3</v>
      </c>
      <c r="C23" s="76">
        <v>454.8</v>
      </c>
      <c r="D23" s="113">
        <f t="shared" si="4"/>
        <v>426.7</v>
      </c>
      <c r="E23" s="113">
        <f>25.3+2.8</f>
        <v>28.1</v>
      </c>
      <c r="F23" s="85">
        <v>60.1</v>
      </c>
      <c r="G23" s="69">
        <v>3144.5</v>
      </c>
      <c r="H23" s="69">
        <v>312.9</v>
      </c>
      <c r="I23" s="85">
        <v>35.4</v>
      </c>
      <c r="J23" s="85">
        <v>13</v>
      </c>
      <c r="K23" s="85">
        <v>0</v>
      </c>
      <c r="L23" s="85">
        <v>0</v>
      </c>
      <c r="M23" s="69">
        <f t="shared" si="0"/>
        <v>31.299999999999024</v>
      </c>
      <c r="N23" s="69">
        <v>8830.3</v>
      </c>
      <c r="O23" s="69">
        <v>5700</v>
      </c>
      <c r="P23" s="3">
        <f t="shared" si="1"/>
        <v>1.549175438596491</v>
      </c>
      <c r="Q23" s="2">
        <v>4722.8</v>
      </c>
      <c r="R23" s="109">
        <v>0</v>
      </c>
      <c r="S23" s="110">
        <v>0</v>
      </c>
      <c r="T23" s="111">
        <v>0</v>
      </c>
      <c r="U23" s="136">
        <v>0</v>
      </c>
      <c r="V23" s="137"/>
      <c r="W23" s="74">
        <f t="shared" si="3"/>
        <v>0</v>
      </c>
    </row>
    <row r="24" spans="1:23" ht="12.75">
      <c r="A24" s="10">
        <v>42824</v>
      </c>
      <c r="B24" s="69">
        <v>6411.9</v>
      </c>
      <c r="C24" s="76">
        <v>849.9</v>
      </c>
      <c r="D24" s="113">
        <f t="shared" si="4"/>
        <v>295.14</v>
      </c>
      <c r="E24" s="113">
        <f>349.63+205.13</f>
        <v>554.76</v>
      </c>
      <c r="F24" s="85">
        <v>25.3</v>
      </c>
      <c r="G24" s="69">
        <v>3498.4</v>
      </c>
      <c r="H24" s="69">
        <v>245</v>
      </c>
      <c r="I24" s="85">
        <v>46.8</v>
      </c>
      <c r="J24" s="85">
        <v>3.85</v>
      </c>
      <c r="K24" s="85">
        <v>0</v>
      </c>
      <c r="L24" s="85">
        <v>0</v>
      </c>
      <c r="M24" s="69">
        <f t="shared" si="0"/>
        <v>31.55000000000073</v>
      </c>
      <c r="N24" s="69">
        <v>11112.7</v>
      </c>
      <c r="O24" s="69">
        <v>8400</v>
      </c>
      <c r="P24" s="3">
        <f t="shared" si="1"/>
        <v>1.3229404761904762</v>
      </c>
      <c r="Q24" s="2">
        <v>4722.8</v>
      </c>
      <c r="R24" s="109">
        <v>11.3</v>
      </c>
      <c r="S24" s="110">
        <v>0</v>
      </c>
      <c r="T24" s="111">
        <v>0</v>
      </c>
      <c r="U24" s="136">
        <v>0</v>
      </c>
      <c r="V24" s="137"/>
      <c r="W24" s="74">
        <f t="shared" si="3"/>
        <v>11.3</v>
      </c>
    </row>
    <row r="25" spans="1:23" ht="13.5" thickBot="1">
      <c r="A25" s="10">
        <v>42825</v>
      </c>
      <c r="B25" s="69">
        <v>3760.2</v>
      </c>
      <c r="C25" s="80">
        <v>220.8</v>
      </c>
      <c r="D25" s="113">
        <f t="shared" si="4"/>
        <v>10.5</v>
      </c>
      <c r="E25" s="114">
        <f>97.1+113.2</f>
        <v>210.3</v>
      </c>
      <c r="F25" s="85">
        <v>85.5</v>
      </c>
      <c r="G25" s="69">
        <v>118.4</v>
      </c>
      <c r="H25" s="69">
        <v>167.6</v>
      </c>
      <c r="I25" s="85">
        <v>109.1</v>
      </c>
      <c r="J25" s="85">
        <v>8.9</v>
      </c>
      <c r="K25" s="85">
        <v>0</v>
      </c>
      <c r="L25" s="85">
        <v>0</v>
      </c>
      <c r="M25" s="69">
        <f t="shared" si="0"/>
        <v>12.30000000000033</v>
      </c>
      <c r="N25" s="69">
        <v>4482.8</v>
      </c>
      <c r="O25" s="69">
        <v>4174.8</v>
      </c>
      <c r="P25" s="3">
        <f t="shared" si="1"/>
        <v>1.073775989268947</v>
      </c>
      <c r="Q25" s="2">
        <v>4722.8</v>
      </c>
      <c r="R25" s="105">
        <v>0</v>
      </c>
      <c r="S25" s="106">
        <v>0</v>
      </c>
      <c r="T25" s="107">
        <v>0</v>
      </c>
      <c r="U25" s="156">
        <v>0</v>
      </c>
      <c r="V25" s="157"/>
      <c r="W25" s="108">
        <f t="shared" si="3"/>
        <v>0</v>
      </c>
    </row>
    <row r="26" spans="1:23" ht="13.5" thickBot="1">
      <c r="A26" s="90" t="s">
        <v>28</v>
      </c>
      <c r="B26" s="92">
        <f aca="true" t="shared" si="5" ref="B26:O26">SUM(B4:B25)</f>
        <v>60301.35000000001</v>
      </c>
      <c r="C26" s="92">
        <f t="shared" si="5"/>
        <v>13927.879999999997</v>
      </c>
      <c r="D26" s="115">
        <f t="shared" si="5"/>
        <v>4028.12</v>
      </c>
      <c r="E26" s="115">
        <f t="shared" si="5"/>
        <v>9899.759999999997</v>
      </c>
      <c r="F26" s="92">
        <f t="shared" si="5"/>
        <v>805.79</v>
      </c>
      <c r="G26" s="92">
        <f t="shared" si="5"/>
        <v>16350.5</v>
      </c>
      <c r="H26" s="92">
        <f t="shared" si="5"/>
        <v>7767.999999999999</v>
      </c>
      <c r="I26" s="92">
        <f t="shared" si="5"/>
        <v>1441.15</v>
      </c>
      <c r="J26" s="92">
        <f t="shared" si="5"/>
        <v>364.25000000000006</v>
      </c>
      <c r="K26" s="92">
        <f t="shared" si="5"/>
        <v>461.7</v>
      </c>
      <c r="L26" s="92">
        <f t="shared" si="5"/>
        <v>2585.5</v>
      </c>
      <c r="M26" s="91">
        <f t="shared" si="5"/>
        <v>-103.59000000000319</v>
      </c>
      <c r="N26" s="91">
        <f t="shared" si="5"/>
        <v>103902.53</v>
      </c>
      <c r="O26" s="91">
        <f t="shared" si="5"/>
        <v>94334.8</v>
      </c>
      <c r="P26" s="93">
        <f>N26/O26</f>
        <v>1.1014231227500348</v>
      </c>
      <c r="Q26" s="2"/>
      <c r="R26" s="82">
        <f>SUM(R4:R25)</f>
        <v>118.89999999999999</v>
      </c>
      <c r="S26" s="82">
        <f>SUM(S4:S25)</f>
        <v>0</v>
      </c>
      <c r="T26" s="82">
        <f>SUM(T4:T25)</f>
        <v>111.64999999999999</v>
      </c>
      <c r="U26" s="125">
        <f>SUM(U4:U25)</f>
        <v>1</v>
      </c>
      <c r="V26" s="126"/>
      <c r="W26" s="82">
        <f>R26+S26+U26+T26+V26</f>
        <v>231.54999999999998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7" t="s">
        <v>33</v>
      </c>
      <c r="S29" s="127"/>
      <c r="T29" s="127"/>
      <c r="U29" s="127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8" t="s">
        <v>29</v>
      </c>
      <c r="S30" s="128"/>
      <c r="T30" s="128"/>
      <c r="U30" s="128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29">
        <v>42826</v>
      </c>
      <c r="S31" s="132">
        <f>'[2]березень'!$D$97</f>
        <v>1399.2856000000002</v>
      </c>
      <c r="T31" s="132"/>
      <c r="U31" s="132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0"/>
      <c r="S32" s="132"/>
      <c r="T32" s="132"/>
      <c r="U32" s="132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3" t="s">
        <v>45</v>
      </c>
      <c r="T34" s="134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5" t="s">
        <v>40</v>
      </c>
      <c r="T35" s="135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7" t="s">
        <v>30</v>
      </c>
      <c r="S39" s="127"/>
      <c r="T39" s="127"/>
      <c r="U39" s="127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4" t="s">
        <v>31</v>
      </c>
      <c r="S40" s="124"/>
      <c r="T40" s="124"/>
      <c r="U40" s="124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29">
        <v>42826</v>
      </c>
      <c r="S41" s="131">
        <v>114548.88999999997</v>
      </c>
      <c r="T41" s="131"/>
      <c r="U41" s="131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0"/>
      <c r="S42" s="131"/>
      <c r="T42" s="131"/>
      <c r="U42" s="131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4:V24"/>
    <mergeCell ref="S34:T34"/>
    <mergeCell ref="S35:T35"/>
    <mergeCell ref="R39:U39"/>
    <mergeCell ref="R40:U40"/>
    <mergeCell ref="R41:R42"/>
    <mergeCell ref="S41:U42"/>
    <mergeCell ref="U25:V25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8" sqref="S38:U39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0" t="s">
        <v>85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2"/>
      <c r="Q1" s="1"/>
      <c r="R1" s="143" t="s">
        <v>87</v>
      </c>
      <c r="S1" s="144"/>
      <c r="T1" s="144"/>
      <c r="U1" s="144"/>
      <c r="V1" s="144"/>
      <c r="W1" s="145"/>
    </row>
    <row r="2" spans="1:23" ht="15" thickBot="1">
      <c r="A2" s="146" t="s">
        <v>88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8"/>
      <c r="Q2" s="1"/>
      <c r="R2" s="149" t="s">
        <v>89</v>
      </c>
      <c r="S2" s="150"/>
      <c r="T2" s="150"/>
      <c r="U2" s="150"/>
      <c r="V2" s="150"/>
      <c r="W2" s="151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86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2" t="s">
        <v>47</v>
      </c>
      <c r="V3" s="153"/>
      <c r="W3" s="25" t="s">
        <v>27</v>
      </c>
    </row>
    <row r="4" spans="1:23" ht="12.75">
      <c r="A4" s="10">
        <v>42828</v>
      </c>
      <c r="B4" s="69">
        <v>670.1</v>
      </c>
      <c r="C4" s="69">
        <v>142.2</v>
      </c>
      <c r="D4" s="113">
        <f aca="true" t="shared" si="0" ref="D4:D22">C4-E4</f>
        <v>5.099999999999994</v>
      </c>
      <c r="E4" s="113">
        <f>137.1</f>
        <v>137.1</v>
      </c>
      <c r="F4" s="69">
        <v>20.3</v>
      </c>
      <c r="G4" s="69">
        <v>139.4</v>
      </c>
      <c r="H4" s="73">
        <v>532.9</v>
      </c>
      <c r="I4" s="85">
        <v>49.3</v>
      </c>
      <c r="J4" s="85">
        <v>18.7</v>
      </c>
      <c r="K4" s="85">
        <v>0</v>
      </c>
      <c r="L4" s="69">
        <v>3105</v>
      </c>
      <c r="M4" s="69">
        <f aca="true" t="shared" si="1" ref="M4:M22">N4-B4-C4-F4-G4-H4-I4-J4-K4-L4</f>
        <v>15.099999999999909</v>
      </c>
      <c r="N4" s="69">
        <v>4693</v>
      </c>
      <c r="O4" s="69">
        <v>4700</v>
      </c>
      <c r="P4" s="3">
        <f aca="true" t="shared" si="2" ref="P4:P22">N4/O4</f>
        <v>0.9985106382978723</v>
      </c>
      <c r="Q4" s="2">
        <f>AVERAGE(N4:N22)</f>
        <v>5912.247894736843</v>
      </c>
      <c r="R4" s="71">
        <v>124.5</v>
      </c>
      <c r="S4" s="72">
        <v>0</v>
      </c>
      <c r="T4" s="73">
        <v>0</v>
      </c>
      <c r="U4" s="154">
        <v>0</v>
      </c>
      <c r="V4" s="155"/>
      <c r="W4" s="74">
        <f>R4+S4+U4+T4+V4</f>
        <v>124.5</v>
      </c>
    </row>
    <row r="5" spans="1:23" ht="12.75">
      <c r="A5" s="10">
        <v>42829</v>
      </c>
      <c r="B5" s="69">
        <v>1922.4</v>
      </c>
      <c r="C5" s="69">
        <v>404.1</v>
      </c>
      <c r="D5" s="113">
        <f t="shared" si="0"/>
        <v>3.500000000000057</v>
      </c>
      <c r="E5" s="113">
        <f>0.2+400.4</f>
        <v>400.59999999999997</v>
      </c>
      <c r="F5" s="69">
        <v>78.8</v>
      </c>
      <c r="G5" s="69">
        <v>121.7</v>
      </c>
      <c r="H5" s="86">
        <v>720.3</v>
      </c>
      <c r="I5" s="85">
        <v>41.1</v>
      </c>
      <c r="J5" s="85">
        <v>21.5</v>
      </c>
      <c r="K5" s="85">
        <v>562.6</v>
      </c>
      <c r="L5" s="69">
        <v>0</v>
      </c>
      <c r="M5" s="69">
        <f t="shared" si="1"/>
        <v>12.539999999999964</v>
      </c>
      <c r="N5" s="69">
        <v>3885.04</v>
      </c>
      <c r="O5" s="69">
        <v>3500</v>
      </c>
      <c r="P5" s="3">
        <f t="shared" si="2"/>
        <v>1.1100114285714286</v>
      </c>
      <c r="Q5" s="2">
        <v>5912.2</v>
      </c>
      <c r="R5" s="75">
        <v>0</v>
      </c>
      <c r="S5" s="69">
        <v>0</v>
      </c>
      <c r="T5" s="76">
        <v>0</v>
      </c>
      <c r="U5" s="136">
        <v>1</v>
      </c>
      <c r="V5" s="137"/>
      <c r="W5" s="74">
        <f aca="true" t="shared" si="3" ref="W5:W22">R5+S5+U5+T5+V5</f>
        <v>1</v>
      </c>
    </row>
    <row r="6" spans="1:23" ht="12.75">
      <c r="A6" s="10">
        <v>42830</v>
      </c>
      <c r="B6" s="69">
        <v>1837.1</v>
      </c>
      <c r="C6" s="69">
        <v>99.6</v>
      </c>
      <c r="D6" s="113">
        <f t="shared" si="0"/>
        <v>1.9299999999999926</v>
      </c>
      <c r="E6" s="113">
        <f>10.33+87.34</f>
        <v>97.67</v>
      </c>
      <c r="F6" s="78">
        <v>61.1</v>
      </c>
      <c r="G6" s="69">
        <v>141.8</v>
      </c>
      <c r="H6" s="87">
        <v>879.5</v>
      </c>
      <c r="I6" s="85">
        <v>25.6</v>
      </c>
      <c r="J6" s="85">
        <v>48.4</v>
      </c>
      <c r="K6" s="85">
        <v>0</v>
      </c>
      <c r="L6" s="85">
        <v>0</v>
      </c>
      <c r="M6" s="69">
        <f t="shared" si="1"/>
        <v>9.250000000000227</v>
      </c>
      <c r="N6" s="69">
        <v>3102.35</v>
      </c>
      <c r="O6" s="69">
        <v>4500</v>
      </c>
      <c r="P6" s="3">
        <f t="shared" si="2"/>
        <v>0.6894111111111111</v>
      </c>
      <c r="Q6" s="2">
        <v>5912.2</v>
      </c>
      <c r="R6" s="77">
        <v>0</v>
      </c>
      <c r="S6" s="78">
        <v>0</v>
      </c>
      <c r="T6" s="79">
        <v>50</v>
      </c>
      <c r="U6" s="138">
        <v>0</v>
      </c>
      <c r="V6" s="139"/>
      <c r="W6" s="74">
        <f t="shared" si="3"/>
        <v>50</v>
      </c>
    </row>
    <row r="7" spans="1:23" ht="12.75">
      <c r="A7" s="10">
        <v>42831</v>
      </c>
      <c r="B7" s="84">
        <v>5281</v>
      </c>
      <c r="C7" s="69">
        <v>187.1</v>
      </c>
      <c r="D7" s="113">
        <f t="shared" si="0"/>
        <v>2.299999999999983</v>
      </c>
      <c r="E7" s="113">
        <f>40.2+144.6</f>
        <v>184.8</v>
      </c>
      <c r="F7" s="69">
        <v>54.7</v>
      </c>
      <c r="G7" s="69">
        <v>141.7</v>
      </c>
      <c r="H7" s="86">
        <v>782.3</v>
      </c>
      <c r="I7" s="85">
        <v>66.2</v>
      </c>
      <c r="J7" s="85">
        <v>37</v>
      </c>
      <c r="K7" s="85">
        <v>0</v>
      </c>
      <c r="L7" s="85">
        <v>0</v>
      </c>
      <c r="M7" s="69">
        <f t="shared" si="1"/>
        <v>-8.55000000000014</v>
      </c>
      <c r="N7" s="69">
        <v>6541.45</v>
      </c>
      <c r="O7" s="69">
        <v>4800</v>
      </c>
      <c r="P7" s="3">
        <f t="shared" si="2"/>
        <v>1.3628020833333332</v>
      </c>
      <c r="Q7" s="2">
        <v>5912.2</v>
      </c>
      <c r="R7" s="77">
        <v>0</v>
      </c>
      <c r="S7" s="78">
        <v>0</v>
      </c>
      <c r="T7" s="79">
        <v>50</v>
      </c>
      <c r="U7" s="138">
        <v>0</v>
      </c>
      <c r="V7" s="139"/>
      <c r="W7" s="74">
        <f t="shared" si="3"/>
        <v>50</v>
      </c>
    </row>
    <row r="8" spans="1:23" ht="12.75">
      <c r="A8" s="10">
        <v>42832</v>
      </c>
      <c r="B8" s="69">
        <v>7758.7</v>
      </c>
      <c r="C8" s="80">
        <v>124.2</v>
      </c>
      <c r="D8" s="113">
        <f t="shared" si="0"/>
        <v>7.400000000000006</v>
      </c>
      <c r="E8" s="114">
        <f>0.1+116.7</f>
        <v>116.8</v>
      </c>
      <c r="F8" s="85">
        <v>25.9</v>
      </c>
      <c r="G8" s="85">
        <v>512.95</v>
      </c>
      <c r="H8" s="69">
        <v>710.6</v>
      </c>
      <c r="I8" s="85">
        <v>46.5</v>
      </c>
      <c r="J8" s="85">
        <v>55.5</v>
      </c>
      <c r="K8" s="85">
        <v>0</v>
      </c>
      <c r="L8" s="85">
        <v>0</v>
      </c>
      <c r="M8" s="69">
        <f t="shared" si="1"/>
        <v>17.350000000000705</v>
      </c>
      <c r="N8" s="69">
        <v>9251.7</v>
      </c>
      <c r="O8" s="69">
        <v>7500</v>
      </c>
      <c r="P8" s="3">
        <f t="shared" si="2"/>
        <v>1.23356</v>
      </c>
      <c r="Q8" s="2">
        <v>5912.2</v>
      </c>
      <c r="R8" s="77">
        <v>0</v>
      </c>
      <c r="S8" s="78">
        <v>0</v>
      </c>
      <c r="T8" s="76">
        <v>0</v>
      </c>
      <c r="U8" s="136">
        <v>0</v>
      </c>
      <c r="V8" s="137"/>
      <c r="W8" s="74">
        <f t="shared" si="3"/>
        <v>0</v>
      </c>
    </row>
    <row r="9" spans="1:23" ht="12.75">
      <c r="A9" s="10">
        <v>42835</v>
      </c>
      <c r="B9" s="69">
        <v>1482.7</v>
      </c>
      <c r="C9" s="80">
        <v>151</v>
      </c>
      <c r="D9" s="113">
        <f t="shared" si="0"/>
        <v>28</v>
      </c>
      <c r="E9" s="114">
        <f>10.2+112.8</f>
        <v>123</v>
      </c>
      <c r="F9" s="85">
        <v>158.75</v>
      </c>
      <c r="G9" s="89">
        <v>259.8</v>
      </c>
      <c r="H9" s="69">
        <v>979.2</v>
      </c>
      <c r="I9" s="85">
        <v>6.1</v>
      </c>
      <c r="J9" s="85">
        <v>81.5</v>
      </c>
      <c r="K9" s="85">
        <v>0</v>
      </c>
      <c r="L9" s="85">
        <v>0</v>
      </c>
      <c r="M9" s="69">
        <f t="shared" si="1"/>
        <v>61.85000000000005</v>
      </c>
      <c r="N9" s="69">
        <v>3180.9</v>
      </c>
      <c r="O9" s="69">
        <v>3400</v>
      </c>
      <c r="P9" s="3">
        <f t="shared" si="2"/>
        <v>0.9355588235294118</v>
      </c>
      <c r="Q9" s="2">
        <v>5912.2</v>
      </c>
      <c r="R9" s="77">
        <v>0</v>
      </c>
      <c r="S9" s="78">
        <v>0</v>
      </c>
      <c r="T9" s="76">
        <v>0</v>
      </c>
      <c r="U9" s="136">
        <v>0</v>
      </c>
      <c r="V9" s="137"/>
      <c r="W9" s="74">
        <f t="shared" si="3"/>
        <v>0</v>
      </c>
    </row>
    <row r="10" spans="1:23" ht="12.75">
      <c r="A10" s="10">
        <v>42836</v>
      </c>
      <c r="B10" s="69">
        <v>566.9</v>
      </c>
      <c r="C10" s="80">
        <v>356.4</v>
      </c>
      <c r="D10" s="113">
        <f t="shared" si="0"/>
        <v>23.899999999999977</v>
      </c>
      <c r="E10" s="80">
        <f>332.5</f>
        <v>332.5</v>
      </c>
      <c r="F10" s="85">
        <v>345.8</v>
      </c>
      <c r="G10" s="85">
        <v>262.7</v>
      </c>
      <c r="H10" s="69">
        <v>871.1</v>
      </c>
      <c r="I10" s="85">
        <v>154.1</v>
      </c>
      <c r="J10" s="85">
        <v>31.3</v>
      </c>
      <c r="K10" s="85">
        <v>0</v>
      </c>
      <c r="L10" s="85">
        <v>0</v>
      </c>
      <c r="M10" s="69">
        <f t="shared" si="1"/>
        <v>26.89999999999962</v>
      </c>
      <c r="N10" s="69">
        <v>2615.2</v>
      </c>
      <c r="O10" s="78">
        <v>5200</v>
      </c>
      <c r="P10" s="3">
        <f t="shared" si="2"/>
        <v>0.5029230769230769</v>
      </c>
      <c r="Q10" s="2">
        <v>5912.2</v>
      </c>
      <c r="R10" s="77">
        <v>0</v>
      </c>
      <c r="S10" s="78">
        <v>0</v>
      </c>
      <c r="T10" s="76">
        <v>145</v>
      </c>
      <c r="U10" s="136">
        <v>0</v>
      </c>
      <c r="V10" s="137"/>
      <c r="W10" s="74">
        <f>R10+S10+U10+T10+V10</f>
        <v>145</v>
      </c>
    </row>
    <row r="11" spans="1:23" ht="12.75">
      <c r="A11" s="10">
        <v>42837</v>
      </c>
      <c r="B11" s="69">
        <v>1298.8</v>
      </c>
      <c r="C11" s="80">
        <v>152.4</v>
      </c>
      <c r="D11" s="113">
        <f t="shared" si="0"/>
        <v>50.10000000000001</v>
      </c>
      <c r="E11" s="114">
        <f>1.8+100.5</f>
        <v>102.3</v>
      </c>
      <c r="F11" s="85">
        <v>111.4</v>
      </c>
      <c r="G11" s="85">
        <v>174</v>
      </c>
      <c r="H11" s="69">
        <v>844.2</v>
      </c>
      <c r="I11" s="85">
        <v>29.9</v>
      </c>
      <c r="J11" s="85">
        <v>9.5</v>
      </c>
      <c r="K11" s="85">
        <v>0</v>
      </c>
      <c r="L11" s="85">
        <v>0</v>
      </c>
      <c r="M11" s="69">
        <f>N11-B11-C11-F11-G11-H11-I11-J11-K11-L11</f>
        <v>22.6</v>
      </c>
      <c r="N11" s="69">
        <v>2642.8</v>
      </c>
      <c r="O11" s="69">
        <v>4800</v>
      </c>
      <c r="P11" s="3">
        <f t="shared" si="2"/>
        <v>0.5505833333333334</v>
      </c>
      <c r="Q11" s="2">
        <v>5912.2</v>
      </c>
      <c r="R11" s="75">
        <v>0</v>
      </c>
      <c r="S11" s="69">
        <v>0</v>
      </c>
      <c r="T11" s="76">
        <v>265</v>
      </c>
      <c r="U11" s="136">
        <v>0</v>
      </c>
      <c r="V11" s="137"/>
      <c r="W11" s="74">
        <f t="shared" si="3"/>
        <v>265</v>
      </c>
    </row>
    <row r="12" spans="1:23" ht="12.75">
      <c r="A12" s="10">
        <v>42838</v>
      </c>
      <c r="B12" s="84">
        <v>4669.4</v>
      </c>
      <c r="C12" s="80">
        <v>230.2</v>
      </c>
      <c r="D12" s="113">
        <f t="shared" si="0"/>
        <v>67.99999999999997</v>
      </c>
      <c r="E12" s="114">
        <f>0.4+161.8</f>
        <v>162.20000000000002</v>
      </c>
      <c r="F12" s="85">
        <v>129.4</v>
      </c>
      <c r="G12" s="85">
        <v>183.2</v>
      </c>
      <c r="H12" s="69">
        <v>1057.7</v>
      </c>
      <c r="I12" s="85">
        <v>80.8</v>
      </c>
      <c r="J12" s="85">
        <v>8.3</v>
      </c>
      <c r="K12" s="85">
        <v>0</v>
      </c>
      <c r="L12" s="85">
        <v>0</v>
      </c>
      <c r="M12" s="69">
        <f>N12-B12-C12-F12-G12-H12-I12-J12-K12-L12</f>
        <v>35.800000000000324</v>
      </c>
      <c r="N12" s="69">
        <v>6394.8</v>
      </c>
      <c r="O12" s="69">
        <v>4000</v>
      </c>
      <c r="P12" s="3">
        <f t="shared" si="2"/>
        <v>1.5987</v>
      </c>
      <c r="Q12" s="2">
        <v>5912.2</v>
      </c>
      <c r="R12" s="75">
        <v>0</v>
      </c>
      <c r="S12" s="69">
        <v>0</v>
      </c>
      <c r="T12" s="76">
        <v>6.9</v>
      </c>
      <c r="U12" s="136">
        <v>0</v>
      </c>
      <c r="V12" s="137"/>
      <c r="W12" s="74">
        <f t="shared" si="3"/>
        <v>6.9</v>
      </c>
    </row>
    <row r="13" spans="1:23" ht="12.75">
      <c r="A13" s="10">
        <v>42839</v>
      </c>
      <c r="B13" s="69">
        <v>5086.7</v>
      </c>
      <c r="C13" s="80">
        <v>203.1</v>
      </c>
      <c r="D13" s="113">
        <f t="shared" si="0"/>
        <v>32.79999999999998</v>
      </c>
      <c r="E13" s="114">
        <f>89.9+80.4</f>
        <v>170.3</v>
      </c>
      <c r="F13" s="85">
        <v>162</v>
      </c>
      <c r="G13" s="85">
        <v>253.4</v>
      </c>
      <c r="H13" s="69">
        <v>1250.3</v>
      </c>
      <c r="I13" s="85">
        <v>40.9</v>
      </c>
      <c r="J13" s="85">
        <v>11.9</v>
      </c>
      <c r="K13" s="85">
        <v>0</v>
      </c>
      <c r="L13" s="85">
        <v>0</v>
      </c>
      <c r="M13" s="69">
        <f>N13-B13-C13-F13-G13-H13-I13-J13-K13-L13</f>
        <v>20.000000000000412</v>
      </c>
      <c r="N13" s="69">
        <v>7028.3</v>
      </c>
      <c r="O13" s="69">
        <v>6500</v>
      </c>
      <c r="P13" s="3">
        <f t="shared" si="2"/>
        <v>1.081276923076923</v>
      </c>
      <c r="Q13" s="2">
        <v>5912.2</v>
      </c>
      <c r="R13" s="75">
        <v>0</v>
      </c>
      <c r="S13" s="69">
        <v>0</v>
      </c>
      <c r="T13" s="76">
        <v>0</v>
      </c>
      <c r="U13" s="136">
        <v>0</v>
      </c>
      <c r="V13" s="137"/>
      <c r="W13" s="74">
        <f t="shared" si="3"/>
        <v>0</v>
      </c>
    </row>
    <row r="14" spans="1:23" ht="12.75">
      <c r="A14" s="10">
        <v>42843</v>
      </c>
      <c r="B14" s="69">
        <v>1282.5</v>
      </c>
      <c r="C14" s="80">
        <v>265.4</v>
      </c>
      <c r="D14" s="113">
        <f t="shared" si="0"/>
        <v>114.79999999999998</v>
      </c>
      <c r="E14" s="114">
        <f>150.6</f>
        <v>150.6</v>
      </c>
      <c r="F14" s="85">
        <v>41.7</v>
      </c>
      <c r="G14" s="85">
        <v>281.9</v>
      </c>
      <c r="H14" s="69">
        <v>1950.3</v>
      </c>
      <c r="I14" s="85">
        <v>93</v>
      </c>
      <c r="J14" s="85">
        <v>2.7</v>
      </c>
      <c r="K14" s="85">
        <v>0</v>
      </c>
      <c r="L14" s="85">
        <v>0</v>
      </c>
      <c r="M14" s="69">
        <f t="shared" si="1"/>
        <v>11.400000000000137</v>
      </c>
      <c r="N14" s="69">
        <v>3928.9</v>
      </c>
      <c r="O14" s="69">
        <v>5000</v>
      </c>
      <c r="P14" s="3">
        <f t="shared" si="2"/>
        <v>0.78578</v>
      </c>
      <c r="Q14" s="2">
        <v>5912.2</v>
      </c>
      <c r="R14" s="75">
        <v>0</v>
      </c>
      <c r="S14" s="69">
        <v>0</v>
      </c>
      <c r="T14" s="80">
        <v>0</v>
      </c>
      <c r="U14" s="136">
        <v>0</v>
      </c>
      <c r="V14" s="137"/>
      <c r="W14" s="74">
        <f t="shared" si="3"/>
        <v>0</v>
      </c>
    </row>
    <row r="15" spans="1:23" ht="12.75">
      <c r="A15" s="10">
        <v>42844</v>
      </c>
      <c r="B15" s="69">
        <v>1403.6</v>
      </c>
      <c r="C15" s="69">
        <v>1812.1</v>
      </c>
      <c r="D15" s="113">
        <f t="shared" si="0"/>
        <v>1386.1999999999998</v>
      </c>
      <c r="E15" s="113">
        <f>50.3+375.6</f>
        <v>425.90000000000003</v>
      </c>
      <c r="F15" s="88">
        <v>130.3</v>
      </c>
      <c r="G15" s="88">
        <v>519.3</v>
      </c>
      <c r="H15" s="89">
        <v>1723.4</v>
      </c>
      <c r="I15" s="88">
        <v>61.8</v>
      </c>
      <c r="J15" s="88">
        <v>11.8</v>
      </c>
      <c r="K15" s="88">
        <v>0</v>
      </c>
      <c r="L15" s="88">
        <v>0</v>
      </c>
      <c r="M15" s="69">
        <f t="shared" si="1"/>
        <v>22.549999999999866</v>
      </c>
      <c r="N15" s="69">
        <v>5684.85</v>
      </c>
      <c r="O15" s="78">
        <v>6500</v>
      </c>
      <c r="P15" s="3">
        <f>N15/O15</f>
        <v>0.8745923076923078</v>
      </c>
      <c r="Q15" s="2">
        <v>5912.2</v>
      </c>
      <c r="R15" s="75">
        <v>0</v>
      </c>
      <c r="S15" s="69">
        <v>0</v>
      </c>
      <c r="T15" s="80">
        <v>0</v>
      </c>
      <c r="U15" s="136">
        <v>0</v>
      </c>
      <c r="V15" s="137"/>
      <c r="W15" s="74">
        <f t="shared" si="3"/>
        <v>0</v>
      </c>
    </row>
    <row r="16" spans="1:23" ht="12.75">
      <c r="A16" s="10">
        <v>42845</v>
      </c>
      <c r="B16" s="69">
        <v>3762.6</v>
      </c>
      <c r="C16" s="80">
        <v>274.7</v>
      </c>
      <c r="D16" s="113">
        <f t="shared" si="0"/>
        <v>129.8</v>
      </c>
      <c r="E16" s="114">
        <f>40.3+104.6</f>
        <v>144.89999999999998</v>
      </c>
      <c r="F16" s="85">
        <v>353.6</v>
      </c>
      <c r="G16" s="85">
        <v>785.3</v>
      </c>
      <c r="H16" s="69">
        <v>1093.2</v>
      </c>
      <c r="I16" s="85">
        <v>58.1</v>
      </c>
      <c r="J16" s="85">
        <v>12.5</v>
      </c>
      <c r="K16" s="85">
        <v>0</v>
      </c>
      <c r="L16" s="85">
        <v>0</v>
      </c>
      <c r="M16" s="69">
        <f t="shared" si="1"/>
        <v>25.15</v>
      </c>
      <c r="N16" s="69">
        <v>6365.15</v>
      </c>
      <c r="O16" s="78">
        <v>3600</v>
      </c>
      <c r="P16" s="3">
        <f t="shared" si="2"/>
        <v>1.7680972222222222</v>
      </c>
      <c r="Q16" s="2">
        <v>5912.2</v>
      </c>
      <c r="R16" s="75">
        <v>0</v>
      </c>
      <c r="S16" s="69">
        <v>0</v>
      </c>
      <c r="T16" s="80">
        <v>0</v>
      </c>
      <c r="U16" s="136">
        <v>0</v>
      </c>
      <c r="V16" s="137"/>
      <c r="W16" s="74">
        <f t="shared" si="3"/>
        <v>0</v>
      </c>
    </row>
    <row r="17" spans="1:23" ht="12.75">
      <c r="A17" s="10">
        <v>42846</v>
      </c>
      <c r="B17" s="69">
        <v>4590.4</v>
      </c>
      <c r="C17" s="80">
        <v>167.4</v>
      </c>
      <c r="D17" s="113">
        <f t="shared" si="0"/>
        <v>11.050000000000011</v>
      </c>
      <c r="E17" s="114">
        <f>26+130.35</f>
        <v>156.35</v>
      </c>
      <c r="F17" s="85">
        <v>102.4</v>
      </c>
      <c r="G17" s="85">
        <v>692.4</v>
      </c>
      <c r="H17" s="69">
        <v>656.93</v>
      </c>
      <c r="I17" s="85">
        <v>47.4</v>
      </c>
      <c r="J17" s="85">
        <v>3</v>
      </c>
      <c r="K17" s="85">
        <v>0</v>
      </c>
      <c r="L17" s="85">
        <v>0</v>
      </c>
      <c r="M17" s="69">
        <f t="shared" si="1"/>
        <v>7.410000000000402</v>
      </c>
      <c r="N17" s="69">
        <v>6267.34</v>
      </c>
      <c r="O17" s="69">
        <v>4700</v>
      </c>
      <c r="P17" s="3">
        <f t="shared" si="2"/>
        <v>1.3334765957446808</v>
      </c>
      <c r="Q17" s="2">
        <v>5912.2</v>
      </c>
      <c r="R17" s="75">
        <v>0</v>
      </c>
      <c r="S17" s="69">
        <v>0</v>
      </c>
      <c r="T17" s="80">
        <v>0</v>
      </c>
      <c r="U17" s="136">
        <v>0</v>
      </c>
      <c r="V17" s="137"/>
      <c r="W17" s="74">
        <f t="shared" si="3"/>
        <v>0</v>
      </c>
    </row>
    <row r="18" spans="1:23" ht="12.75">
      <c r="A18" s="10">
        <v>42849</v>
      </c>
      <c r="B18" s="69">
        <v>1315</v>
      </c>
      <c r="C18" s="80">
        <v>414</v>
      </c>
      <c r="D18" s="113">
        <f t="shared" si="0"/>
        <v>266.05</v>
      </c>
      <c r="E18" s="80">
        <f>17.6+130.35</f>
        <v>147.95</v>
      </c>
      <c r="F18" s="85">
        <v>263.1</v>
      </c>
      <c r="G18" s="85">
        <v>899.6</v>
      </c>
      <c r="H18" s="69">
        <v>451.54</v>
      </c>
      <c r="I18" s="85">
        <v>45.6</v>
      </c>
      <c r="J18" s="85">
        <v>5.6</v>
      </c>
      <c r="K18" s="85">
        <v>0</v>
      </c>
      <c r="L18" s="85">
        <v>0</v>
      </c>
      <c r="M18" s="69">
        <f t="shared" si="1"/>
        <v>20.710000000000136</v>
      </c>
      <c r="N18" s="69">
        <v>3415.15</v>
      </c>
      <c r="O18" s="69">
        <v>3500</v>
      </c>
      <c r="P18" s="3">
        <f>N18/O18</f>
        <v>0.9757571428571429</v>
      </c>
      <c r="Q18" s="2">
        <v>5912.2</v>
      </c>
      <c r="R18" s="75">
        <v>0</v>
      </c>
      <c r="S18" s="69">
        <v>0</v>
      </c>
      <c r="T18" s="76">
        <v>0</v>
      </c>
      <c r="U18" s="136">
        <v>0</v>
      </c>
      <c r="V18" s="137"/>
      <c r="W18" s="74">
        <f t="shared" si="3"/>
        <v>0</v>
      </c>
    </row>
    <row r="19" spans="1:23" ht="12.75">
      <c r="A19" s="10">
        <v>42850</v>
      </c>
      <c r="B19" s="69">
        <v>815.7</v>
      </c>
      <c r="C19" s="80">
        <v>873.2</v>
      </c>
      <c r="D19" s="113">
        <f t="shared" si="0"/>
        <v>356</v>
      </c>
      <c r="E19" s="80">
        <f>146.7+370.5</f>
        <v>517.2</v>
      </c>
      <c r="F19" s="85">
        <v>525</v>
      </c>
      <c r="G19" s="85">
        <v>1095.2</v>
      </c>
      <c r="H19" s="69">
        <v>941</v>
      </c>
      <c r="I19" s="85">
        <v>77.7</v>
      </c>
      <c r="J19" s="85">
        <v>44.3</v>
      </c>
      <c r="K19" s="85">
        <v>0</v>
      </c>
      <c r="L19" s="85">
        <v>0</v>
      </c>
      <c r="M19" s="69">
        <f>N19-B19-C19-F19-G19-H19-I19-J19-K19-L19</f>
        <v>35.799999999999955</v>
      </c>
      <c r="N19" s="69">
        <v>4407.9</v>
      </c>
      <c r="O19" s="69">
        <v>3600</v>
      </c>
      <c r="P19" s="3">
        <f>N19/O19</f>
        <v>1.2244166666666665</v>
      </c>
      <c r="Q19" s="2">
        <v>5912.2</v>
      </c>
      <c r="R19" s="75">
        <v>0</v>
      </c>
      <c r="S19" s="69">
        <v>0</v>
      </c>
      <c r="T19" s="76">
        <v>0</v>
      </c>
      <c r="U19" s="136">
        <v>0</v>
      </c>
      <c r="V19" s="137"/>
      <c r="W19" s="74">
        <f t="shared" si="3"/>
        <v>0</v>
      </c>
    </row>
    <row r="20" spans="1:23" ht="12.75">
      <c r="A20" s="10">
        <v>42851</v>
      </c>
      <c r="B20" s="69">
        <v>925.3</v>
      </c>
      <c r="C20" s="80">
        <v>1431.35</v>
      </c>
      <c r="D20" s="113">
        <f t="shared" si="0"/>
        <v>1082.27</v>
      </c>
      <c r="E20" s="80">
        <f>204.64+144.44</f>
        <v>349.08</v>
      </c>
      <c r="F20" s="85">
        <v>732.2</v>
      </c>
      <c r="G20" s="69">
        <v>2148.2</v>
      </c>
      <c r="H20" s="69">
        <v>746.9</v>
      </c>
      <c r="I20" s="85">
        <v>40.5</v>
      </c>
      <c r="J20" s="85">
        <v>11.5</v>
      </c>
      <c r="K20" s="85">
        <v>0</v>
      </c>
      <c r="L20" s="85">
        <v>0</v>
      </c>
      <c r="M20" s="69">
        <f>N20-B20-C20-F20-G20-H20-I20-J20-K20-L20</f>
        <v>28.289999999999623</v>
      </c>
      <c r="N20" s="69">
        <v>6064.24</v>
      </c>
      <c r="O20" s="69">
        <v>8060</v>
      </c>
      <c r="P20" s="3">
        <f>N20/O20</f>
        <v>0.7523870967741936</v>
      </c>
      <c r="Q20" s="2">
        <v>5912.2</v>
      </c>
      <c r="R20" s="75">
        <v>0</v>
      </c>
      <c r="S20" s="69">
        <v>0</v>
      </c>
      <c r="T20" s="76">
        <v>0</v>
      </c>
      <c r="U20" s="136">
        <v>0</v>
      </c>
      <c r="V20" s="137"/>
      <c r="W20" s="74">
        <f t="shared" si="3"/>
        <v>0</v>
      </c>
    </row>
    <row r="21" spans="1:23" ht="12.75">
      <c r="A21" s="10">
        <v>42852</v>
      </c>
      <c r="B21" s="69">
        <v>7885</v>
      </c>
      <c r="C21" s="80">
        <v>420.95</v>
      </c>
      <c r="D21" s="113">
        <f t="shared" si="0"/>
        <v>271.65</v>
      </c>
      <c r="E21" s="80">
        <f>14.7+134.6</f>
        <v>149.29999999999998</v>
      </c>
      <c r="F21" s="85">
        <v>545.3</v>
      </c>
      <c r="G21" s="69">
        <v>3200.5</v>
      </c>
      <c r="H21" s="69">
        <v>1131.8</v>
      </c>
      <c r="I21" s="85">
        <v>50.2</v>
      </c>
      <c r="J21" s="85">
        <v>20.3</v>
      </c>
      <c r="K21" s="85">
        <v>0</v>
      </c>
      <c r="L21" s="85">
        <v>0</v>
      </c>
      <c r="M21" s="69">
        <f t="shared" si="1"/>
        <v>12.749999999999314</v>
      </c>
      <c r="N21" s="69">
        <v>13266.8</v>
      </c>
      <c r="O21" s="69">
        <v>10500</v>
      </c>
      <c r="P21" s="3">
        <f t="shared" si="2"/>
        <v>1.263504761904762</v>
      </c>
      <c r="Q21" s="2">
        <v>5912.2</v>
      </c>
      <c r="R21" s="81">
        <v>0</v>
      </c>
      <c r="S21" s="80">
        <v>0</v>
      </c>
      <c r="T21" s="76">
        <v>0</v>
      </c>
      <c r="U21" s="136">
        <v>0</v>
      </c>
      <c r="V21" s="137"/>
      <c r="W21" s="74">
        <f t="shared" si="3"/>
        <v>0</v>
      </c>
    </row>
    <row r="22" spans="1:23" ht="13.5" thickBot="1">
      <c r="A22" s="10">
        <v>42853</v>
      </c>
      <c r="B22" s="69">
        <v>8354.8</v>
      </c>
      <c r="C22" s="80">
        <v>761.5</v>
      </c>
      <c r="D22" s="113">
        <f t="shared" si="0"/>
        <v>404.65999999999997</v>
      </c>
      <c r="E22" s="80">
        <f>229+127.84</f>
        <v>356.84000000000003</v>
      </c>
      <c r="F22" s="85">
        <v>690.6</v>
      </c>
      <c r="G22" s="69">
        <v>2694.9</v>
      </c>
      <c r="H22" s="69">
        <v>887.2</v>
      </c>
      <c r="I22" s="85">
        <v>81.8</v>
      </c>
      <c r="J22" s="85">
        <v>25.2</v>
      </c>
      <c r="K22" s="85">
        <v>0</v>
      </c>
      <c r="L22" s="85">
        <v>0</v>
      </c>
      <c r="M22" s="69">
        <f t="shared" si="1"/>
        <v>100.84000000000083</v>
      </c>
      <c r="N22" s="69">
        <v>13596.84</v>
      </c>
      <c r="O22" s="69">
        <v>16264.8</v>
      </c>
      <c r="P22" s="3">
        <f t="shared" si="2"/>
        <v>0.835967242142541</v>
      </c>
      <c r="Q22" s="2">
        <v>5912.2</v>
      </c>
      <c r="R22" s="81">
        <v>11.2</v>
      </c>
      <c r="S22" s="80">
        <v>0</v>
      </c>
      <c r="T22" s="76">
        <v>90.3</v>
      </c>
      <c r="U22" s="136">
        <v>1</v>
      </c>
      <c r="V22" s="137"/>
      <c r="W22" s="74">
        <f t="shared" si="3"/>
        <v>102.5</v>
      </c>
    </row>
    <row r="23" spans="1:23" ht="13.5" thickBot="1">
      <c r="A23" s="90" t="s">
        <v>28</v>
      </c>
      <c r="B23" s="92">
        <f aca="true" t="shared" si="4" ref="B23:O23">SUM(B4:B22)</f>
        <v>60908.7</v>
      </c>
      <c r="C23" s="92">
        <f t="shared" si="4"/>
        <v>8470.899999999998</v>
      </c>
      <c r="D23" s="115">
        <f t="shared" si="4"/>
        <v>4245.51</v>
      </c>
      <c r="E23" s="115">
        <f t="shared" si="4"/>
        <v>4225.389999999999</v>
      </c>
      <c r="F23" s="92">
        <f t="shared" si="4"/>
        <v>4532.35</v>
      </c>
      <c r="G23" s="92">
        <f t="shared" si="4"/>
        <v>14507.949999999999</v>
      </c>
      <c r="H23" s="92">
        <f t="shared" si="4"/>
        <v>18210.370000000003</v>
      </c>
      <c r="I23" s="92">
        <f t="shared" si="4"/>
        <v>1096.6000000000001</v>
      </c>
      <c r="J23" s="92">
        <f t="shared" si="4"/>
        <v>460.50000000000006</v>
      </c>
      <c r="K23" s="92">
        <f t="shared" si="4"/>
        <v>562.6</v>
      </c>
      <c r="L23" s="92">
        <f t="shared" si="4"/>
        <v>3105</v>
      </c>
      <c r="M23" s="91">
        <f t="shared" si="4"/>
        <v>477.7400000000014</v>
      </c>
      <c r="N23" s="91">
        <f t="shared" si="4"/>
        <v>112332.71</v>
      </c>
      <c r="O23" s="91">
        <f t="shared" si="4"/>
        <v>110624.8</v>
      </c>
      <c r="P23" s="93">
        <f>N23/O23</f>
        <v>1.0154387623751637</v>
      </c>
      <c r="Q23" s="2"/>
      <c r="R23" s="82">
        <f>SUM(R4:R22)</f>
        <v>135.7</v>
      </c>
      <c r="S23" s="82">
        <f>SUM(S4:S22)</f>
        <v>0</v>
      </c>
      <c r="T23" s="82">
        <f>SUM(T4:T22)</f>
        <v>607.1999999999999</v>
      </c>
      <c r="U23" s="125">
        <f>SUM(U4:U22)</f>
        <v>2</v>
      </c>
      <c r="V23" s="126"/>
      <c r="W23" s="82">
        <f>R23+S23+U23+T23+V23</f>
        <v>744.8999999999999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27" t="s">
        <v>33</v>
      </c>
      <c r="S26" s="127"/>
      <c r="T26" s="127"/>
      <c r="U26" s="127"/>
      <c r="V26" s="54"/>
      <c r="W26" s="54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8" t="s">
        <v>29</v>
      </c>
      <c r="S27" s="128"/>
      <c r="T27" s="128"/>
      <c r="U27" s="128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9">
        <v>42856</v>
      </c>
      <c r="S28" s="132">
        <f>'[2]квітень'!$D$97</f>
        <v>102.57358</v>
      </c>
      <c r="T28" s="132"/>
      <c r="U28" s="132"/>
      <c r="V28" s="61"/>
      <c r="W28" s="6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0"/>
      <c r="S29" s="132"/>
      <c r="T29" s="132"/>
      <c r="U29" s="132"/>
      <c r="V29" s="61"/>
      <c r="W29" s="61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7" t="s">
        <v>34</v>
      </c>
      <c r="T30" s="38" t="s">
        <v>39</v>
      </c>
      <c r="U30" s="52">
        <f>'[1]серпень'!$I$83</f>
        <v>0</v>
      </c>
      <c r="V30" s="58"/>
      <c r="W30" s="59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33" t="s">
        <v>45</v>
      </c>
      <c r="T31" s="134"/>
      <c r="U31" s="39">
        <f>'[1]серпень'!$I$82</f>
        <v>0</v>
      </c>
      <c r="V31" s="60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35" t="s">
        <v>40</v>
      </c>
      <c r="T32" s="135"/>
      <c r="U32" s="52">
        <f>'[1]серпень'!$I$81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60"/>
      <c r="V33" s="60"/>
      <c r="W33" s="59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27" t="s">
        <v>30</v>
      </c>
      <c r="S36" s="127"/>
      <c r="T36" s="127"/>
      <c r="U36" s="127"/>
      <c r="V36" s="56"/>
      <c r="W36" s="56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4" t="s">
        <v>31</v>
      </c>
      <c r="S37" s="124"/>
      <c r="T37" s="124"/>
      <c r="U37" s="124"/>
      <c r="V37" s="57"/>
      <c r="W37" s="57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9">
        <v>42856</v>
      </c>
      <c r="S38" s="131">
        <v>94413.13370999995</v>
      </c>
      <c r="T38" s="131"/>
      <c r="U38" s="131"/>
      <c r="V38" s="55"/>
      <c r="W38" s="55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0"/>
      <c r="S39" s="131"/>
      <c r="T39" s="131"/>
      <c r="U39" s="131"/>
      <c r="V39" s="55"/>
      <c r="W39" s="55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1:T31"/>
    <mergeCell ref="U17:V17"/>
    <mergeCell ref="U18:V18"/>
    <mergeCell ref="U19:V19"/>
    <mergeCell ref="U20:V20"/>
    <mergeCell ref="U21:V21"/>
    <mergeCell ref="U22:V22"/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E2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29" sqref="S29:U3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0" t="s">
        <v>90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2"/>
      <c r="Q1" s="1"/>
      <c r="R1" s="143" t="s">
        <v>92</v>
      </c>
      <c r="S1" s="144"/>
      <c r="T1" s="144"/>
      <c r="U1" s="144"/>
      <c r="V1" s="144"/>
      <c r="W1" s="145"/>
    </row>
    <row r="2" spans="1:23" ht="15" thickBot="1">
      <c r="A2" s="146" t="s">
        <v>94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8"/>
      <c r="Q2" s="1"/>
      <c r="R2" s="149" t="s">
        <v>95</v>
      </c>
      <c r="S2" s="150"/>
      <c r="T2" s="150"/>
      <c r="U2" s="150"/>
      <c r="V2" s="150"/>
      <c r="W2" s="151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91</v>
      </c>
      <c r="O3" s="66" t="s">
        <v>93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2" t="s">
        <v>47</v>
      </c>
      <c r="V3" s="153"/>
      <c r="W3" s="25" t="s">
        <v>27</v>
      </c>
    </row>
    <row r="4" spans="1:23" ht="12.75">
      <c r="A4" s="10">
        <v>42858</v>
      </c>
      <c r="B4" s="69">
        <v>824</v>
      </c>
      <c r="C4" s="69">
        <v>259</v>
      </c>
      <c r="D4" s="113">
        <v>6.7</v>
      </c>
      <c r="E4" s="113">
        <f aca="true" t="shared" si="0" ref="E4:E23">C4-D4</f>
        <v>252.3</v>
      </c>
      <c r="F4" s="69">
        <v>13.7</v>
      </c>
      <c r="G4" s="69">
        <v>176.7</v>
      </c>
      <c r="H4" s="73">
        <v>654.4</v>
      </c>
      <c r="I4" s="85">
        <v>48.4</v>
      </c>
      <c r="J4" s="85">
        <v>38.1</v>
      </c>
      <c r="K4" s="85">
        <v>0</v>
      </c>
      <c r="L4" s="69">
        <v>2672.3</v>
      </c>
      <c r="M4" s="69">
        <f aca="true" t="shared" si="1" ref="M4:M23">N4-B4-C4-F4-G4-H4-I4-J4-K4-L4</f>
        <v>15.700000000000273</v>
      </c>
      <c r="N4" s="69">
        <v>4702.3</v>
      </c>
      <c r="O4" s="69">
        <v>4700</v>
      </c>
      <c r="P4" s="3">
        <f aca="true" t="shared" si="2" ref="P4:P23">N4/O4</f>
        <v>1.0004893617021278</v>
      </c>
      <c r="Q4" s="2">
        <f>AVERAGE(N4:N22)</f>
        <v>5395.881052631579</v>
      </c>
      <c r="R4" s="71">
        <v>1.95</v>
      </c>
      <c r="S4" s="72">
        <v>0</v>
      </c>
      <c r="T4" s="73">
        <v>223.1</v>
      </c>
      <c r="U4" s="154">
        <v>0</v>
      </c>
      <c r="V4" s="155"/>
      <c r="W4" s="74">
        <f>R4+S4+U4+T4+V4</f>
        <v>225.04999999999998</v>
      </c>
    </row>
    <row r="5" spans="1:23" ht="12.75">
      <c r="A5" s="10">
        <v>42859</v>
      </c>
      <c r="B5" s="69">
        <v>2201.1</v>
      </c>
      <c r="C5" s="69">
        <v>421.65</v>
      </c>
      <c r="D5" s="113">
        <v>13.3</v>
      </c>
      <c r="E5" s="113">
        <f t="shared" si="0"/>
        <v>408.34999999999997</v>
      </c>
      <c r="F5" s="69">
        <v>7.4</v>
      </c>
      <c r="G5" s="69">
        <v>231.6</v>
      </c>
      <c r="H5" s="86">
        <v>1213.9</v>
      </c>
      <c r="I5" s="85">
        <v>55.4</v>
      </c>
      <c r="J5" s="85">
        <v>36.7</v>
      </c>
      <c r="K5" s="85">
        <v>533.6</v>
      </c>
      <c r="L5" s="69">
        <v>0</v>
      </c>
      <c r="M5" s="69">
        <f t="shared" si="1"/>
        <v>12.450000000000045</v>
      </c>
      <c r="N5" s="69">
        <v>4713.8</v>
      </c>
      <c r="O5" s="69">
        <v>4700</v>
      </c>
      <c r="P5" s="3">
        <f t="shared" si="2"/>
        <v>1.002936170212766</v>
      </c>
      <c r="Q5" s="2">
        <v>5395.9</v>
      </c>
      <c r="R5" s="75">
        <v>0</v>
      </c>
      <c r="S5" s="69">
        <v>0</v>
      </c>
      <c r="T5" s="76">
        <v>0</v>
      </c>
      <c r="U5" s="136">
        <v>0</v>
      </c>
      <c r="V5" s="137"/>
      <c r="W5" s="74">
        <f aca="true" t="shared" si="3" ref="W5:W23">R5+S5+U5+T5+V5</f>
        <v>0</v>
      </c>
    </row>
    <row r="6" spans="1:23" ht="12.75">
      <c r="A6" s="10">
        <v>42860</v>
      </c>
      <c r="B6" s="69">
        <v>9915.4</v>
      </c>
      <c r="C6" s="69">
        <v>113.9</v>
      </c>
      <c r="D6" s="113">
        <v>14.2</v>
      </c>
      <c r="E6" s="113">
        <f t="shared" si="0"/>
        <v>99.7</v>
      </c>
      <c r="F6" s="78">
        <v>47.8</v>
      </c>
      <c r="G6" s="69">
        <v>247.6</v>
      </c>
      <c r="H6" s="87">
        <v>2026.1</v>
      </c>
      <c r="I6" s="85">
        <v>63.9</v>
      </c>
      <c r="J6" s="85">
        <v>62.7</v>
      </c>
      <c r="K6" s="85">
        <v>0</v>
      </c>
      <c r="L6" s="85">
        <v>0</v>
      </c>
      <c r="M6" s="69">
        <f t="shared" si="1"/>
        <v>24.4999999999999</v>
      </c>
      <c r="N6" s="69">
        <v>12501.9</v>
      </c>
      <c r="O6" s="69">
        <v>10500</v>
      </c>
      <c r="P6" s="3">
        <f t="shared" si="2"/>
        <v>1.1906571428571429</v>
      </c>
      <c r="Q6" s="2">
        <v>5395.9</v>
      </c>
      <c r="R6" s="77">
        <v>0</v>
      </c>
      <c r="S6" s="78">
        <v>0</v>
      </c>
      <c r="T6" s="79">
        <v>0</v>
      </c>
      <c r="U6" s="138">
        <v>0</v>
      </c>
      <c r="V6" s="139"/>
      <c r="W6" s="74">
        <f t="shared" si="3"/>
        <v>0</v>
      </c>
    </row>
    <row r="7" spans="1:23" ht="12.75">
      <c r="A7" s="10">
        <v>42865</v>
      </c>
      <c r="B7" s="84">
        <v>1869</v>
      </c>
      <c r="C7" s="69">
        <v>153.5</v>
      </c>
      <c r="D7" s="113">
        <v>16.2</v>
      </c>
      <c r="E7" s="113">
        <f t="shared" si="0"/>
        <v>137.3</v>
      </c>
      <c r="F7" s="69">
        <v>8.9</v>
      </c>
      <c r="G7" s="69">
        <v>267.7</v>
      </c>
      <c r="H7" s="86">
        <v>1973.8</v>
      </c>
      <c r="I7" s="85">
        <v>100.2</v>
      </c>
      <c r="J7" s="85">
        <v>69.6</v>
      </c>
      <c r="K7" s="85">
        <v>0</v>
      </c>
      <c r="L7" s="85">
        <v>0</v>
      </c>
      <c r="M7" s="69">
        <f t="shared" si="1"/>
        <v>173.49999999999997</v>
      </c>
      <c r="N7" s="69">
        <v>4616.2</v>
      </c>
      <c r="O7" s="69">
        <v>4500</v>
      </c>
      <c r="P7" s="3">
        <f t="shared" si="2"/>
        <v>1.0258222222222222</v>
      </c>
      <c r="Q7" s="2">
        <v>5395.9</v>
      </c>
      <c r="R7" s="77">
        <v>0</v>
      </c>
      <c r="S7" s="78">
        <v>0</v>
      </c>
      <c r="T7" s="79">
        <v>416.7</v>
      </c>
      <c r="U7" s="138">
        <v>1</v>
      </c>
      <c r="V7" s="139"/>
      <c r="W7" s="74">
        <f t="shared" si="3"/>
        <v>417.7</v>
      </c>
    </row>
    <row r="8" spans="1:23" ht="12.75">
      <c r="A8" s="10">
        <v>42866</v>
      </c>
      <c r="B8" s="69">
        <v>1087</v>
      </c>
      <c r="C8" s="80">
        <v>411.6</v>
      </c>
      <c r="D8" s="113">
        <v>30.9</v>
      </c>
      <c r="E8" s="113">
        <f t="shared" si="0"/>
        <v>380.70000000000005</v>
      </c>
      <c r="F8" s="85">
        <v>2.7</v>
      </c>
      <c r="G8" s="85">
        <v>285.3</v>
      </c>
      <c r="H8" s="69">
        <v>2224.7</v>
      </c>
      <c r="I8" s="85">
        <v>115.9</v>
      </c>
      <c r="J8" s="85">
        <v>27.1</v>
      </c>
      <c r="K8" s="85">
        <v>0</v>
      </c>
      <c r="L8" s="85">
        <v>0</v>
      </c>
      <c r="M8" s="69">
        <f t="shared" si="1"/>
        <v>94.20000000000027</v>
      </c>
      <c r="N8" s="69">
        <v>4248.5</v>
      </c>
      <c r="O8" s="69">
        <v>2500</v>
      </c>
      <c r="P8" s="3">
        <f t="shared" si="2"/>
        <v>1.6994</v>
      </c>
      <c r="Q8" s="2">
        <v>5395.9</v>
      </c>
      <c r="R8" s="77">
        <v>0</v>
      </c>
      <c r="S8" s="78">
        <v>0</v>
      </c>
      <c r="T8" s="76">
        <v>0</v>
      </c>
      <c r="U8" s="136">
        <v>0</v>
      </c>
      <c r="V8" s="137"/>
      <c r="W8" s="74">
        <f t="shared" si="3"/>
        <v>0</v>
      </c>
    </row>
    <row r="9" spans="1:23" ht="12.75">
      <c r="A9" s="10">
        <v>42867</v>
      </c>
      <c r="B9" s="69">
        <v>1883.2</v>
      </c>
      <c r="C9" s="80">
        <v>179.1</v>
      </c>
      <c r="D9" s="113">
        <v>53.5</v>
      </c>
      <c r="E9" s="113">
        <f t="shared" si="0"/>
        <v>125.6</v>
      </c>
      <c r="F9" s="85">
        <v>25.6</v>
      </c>
      <c r="G9" s="89">
        <v>211.1</v>
      </c>
      <c r="H9" s="69">
        <v>964.3</v>
      </c>
      <c r="I9" s="85">
        <v>75.1</v>
      </c>
      <c r="J9" s="85">
        <v>13</v>
      </c>
      <c r="K9" s="85">
        <v>0</v>
      </c>
      <c r="L9" s="85">
        <v>0</v>
      </c>
      <c r="M9" s="69">
        <f t="shared" si="1"/>
        <v>224.75000000000037</v>
      </c>
      <c r="N9" s="69">
        <v>3576.15</v>
      </c>
      <c r="O9" s="69">
        <v>3800</v>
      </c>
      <c r="P9" s="3">
        <f t="shared" si="2"/>
        <v>0.9410921052631579</v>
      </c>
      <c r="Q9" s="2">
        <v>5395.9</v>
      </c>
      <c r="R9" s="77">
        <v>0</v>
      </c>
      <c r="S9" s="78">
        <v>0</v>
      </c>
      <c r="T9" s="76">
        <v>405.9</v>
      </c>
      <c r="U9" s="136">
        <v>0</v>
      </c>
      <c r="V9" s="137"/>
      <c r="W9" s="74">
        <f t="shared" si="3"/>
        <v>405.9</v>
      </c>
    </row>
    <row r="10" spans="1:23" ht="12.75">
      <c r="A10" s="10">
        <v>42868</v>
      </c>
      <c r="B10" s="69">
        <v>2225</v>
      </c>
      <c r="C10" s="80">
        <v>285.8</v>
      </c>
      <c r="D10" s="113">
        <v>75.4</v>
      </c>
      <c r="E10" s="113">
        <f t="shared" si="0"/>
        <v>210.4</v>
      </c>
      <c r="F10" s="85">
        <v>9.9</v>
      </c>
      <c r="G10" s="85">
        <v>53.9</v>
      </c>
      <c r="H10" s="69">
        <v>456.4</v>
      </c>
      <c r="I10" s="85">
        <v>52.1</v>
      </c>
      <c r="J10" s="85">
        <v>8.3</v>
      </c>
      <c r="K10" s="85">
        <v>0</v>
      </c>
      <c r="L10" s="85">
        <v>0</v>
      </c>
      <c r="M10" s="69">
        <f t="shared" si="1"/>
        <v>199.6500000000003</v>
      </c>
      <c r="N10" s="69">
        <v>3291.05</v>
      </c>
      <c r="O10" s="78">
        <v>4000</v>
      </c>
      <c r="P10" s="3">
        <f t="shared" si="2"/>
        <v>0.8227625000000001</v>
      </c>
      <c r="Q10" s="2">
        <v>5395.9</v>
      </c>
      <c r="R10" s="77">
        <v>0</v>
      </c>
      <c r="S10" s="78">
        <v>0</v>
      </c>
      <c r="T10" s="76">
        <v>19.84</v>
      </c>
      <c r="U10" s="136">
        <v>0</v>
      </c>
      <c r="V10" s="137"/>
      <c r="W10" s="74">
        <f>R10+S10+U10+T10+V10</f>
        <v>19.84</v>
      </c>
    </row>
    <row r="11" spans="1:23" ht="12.75">
      <c r="A11" s="10">
        <v>42870</v>
      </c>
      <c r="B11" s="69">
        <v>5345.8</v>
      </c>
      <c r="C11" s="80">
        <v>361.4</v>
      </c>
      <c r="D11" s="113">
        <v>87.3</v>
      </c>
      <c r="E11" s="113">
        <f t="shared" si="0"/>
        <v>274.09999999999997</v>
      </c>
      <c r="F11" s="85">
        <v>8.3</v>
      </c>
      <c r="G11" s="85">
        <v>260.4</v>
      </c>
      <c r="H11" s="69">
        <v>1907.1</v>
      </c>
      <c r="I11" s="85">
        <v>50.3</v>
      </c>
      <c r="J11" s="85">
        <v>20.4</v>
      </c>
      <c r="K11" s="85">
        <v>0</v>
      </c>
      <c r="L11" s="85">
        <v>0</v>
      </c>
      <c r="M11" s="69">
        <f>N11-B11-C11-F11-G11-H11-I11-J11-K11-L11</f>
        <v>17.09999999999973</v>
      </c>
      <c r="N11" s="69">
        <v>7970.8</v>
      </c>
      <c r="O11" s="69">
        <v>7600</v>
      </c>
      <c r="P11" s="3">
        <f t="shared" si="2"/>
        <v>1.0487894736842105</v>
      </c>
      <c r="Q11" s="2">
        <v>5395.9</v>
      </c>
      <c r="R11" s="75">
        <v>0</v>
      </c>
      <c r="S11" s="69">
        <v>0</v>
      </c>
      <c r="T11" s="76">
        <v>0</v>
      </c>
      <c r="U11" s="136">
        <v>0</v>
      </c>
      <c r="V11" s="137"/>
      <c r="W11" s="74">
        <f t="shared" si="3"/>
        <v>0</v>
      </c>
    </row>
    <row r="12" spans="1:23" ht="12.75">
      <c r="A12" s="10">
        <v>42871</v>
      </c>
      <c r="B12" s="84">
        <v>2210.1</v>
      </c>
      <c r="C12" s="80">
        <v>214.3</v>
      </c>
      <c r="D12" s="113">
        <v>40.2</v>
      </c>
      <c r="E12" s="113">
        <f t="shared" si="0"/>
        <v>174.10000000000002</v>
      </c>
      <c r="F12" s="85">
        <v>26.5</v>
      </c>
      <c r="G12" s="85">
        <v>424.8</v>
      </c>
      <c r="H12" s="69">
        <v>2561.2</v>
      </c>
      <c r="I12" s="85">
        <v>110.9</v>
      </c>
      <c r="J12" s="85">
        <v>38.8</v>
      </c>
      <c r="K12" s="85">
        <v>0</v>
      </c>
      <c r="L12" s="85">
        <v>0</v>
      </c>
      <c r="M12" s="69">
        <f>N12-B12-C12-F12-G12-H12-I12-J12-K12-L12</f>
        <v>9.50000000000027</v>
      </c>
      <c r="N12" s="69">
        <v>5596.1</v>
      </c>
      <c r="O12" s="69">
        <v>4500</v>
      </c>
      <c r="P12" s="3">
        <f t="shared" si="2"/>
        <v>1.243577777777778</v>
      </c>
      <c r="Q12" s="2">
        <v>5395.9</v>
      </c>
      <c r="R12" s="75">
        <v>0</v>
      </c>
      <c r="S12" s="69">
        <v>0</v>
      </c>
      <c r="T12" s="76">
        <v>16.8</v>
      </c>
      <c r="U12" s="136">
        <v>0</v>
      </c>
      <c r="V12" s="137"/>
      <c r="W12" s="74">
        <f t="shared" si="3"/>
        <v>16.8</v>
      </c>
    </row>
    <row r="13" spans="1:23" ht="12.75">
      <c r="A13" s="10">
        <v>42872</v>
      </c>
      <c r="B13" s="69">
        <v>936.2</v>
      </c>
      <c r="C13" s="80">
        <v>247.5</v>
      </c>
      <c r="D13" s="113">
        <v>64.4</v>
      </c>
      <c r="E13" s="113">
        <f t="shared" si="0"/>
        <v>183.1</v>
      </c>
      <c r="F13" s="85">
        <v>4.9</v>
      </c>
      <c r="G13" s="85">
        <v>364.4</v>
      </c>
      <c r="H13" s="69">
        <v>2171.4</v>
      </c>
      <c r="I13" s="85">
        <v>50</v>
      </c>
      <c r="J13" s="85">
        <v>3.9</v>
      </c>
      <c r="K13" s="85">
        <v>0</v>
      </c>
      <c r="L13" s="85">
        <v>0</v>
      </c>
      <c r="M13" s="69">
        <f>N13-B13-C13-F13-G13-H13-I13-J13-K13-L13</f>
        <v>-1.1000000000002728</v>
      </c>
      <c r="N13" s="69">
        <v>3777.2</v>
      </c>
      <c r="O13" s="69">
        <v>5500</v>
      </c>
      <c r="P13" s="3">
        <f t="shared" si="2"/>
        <v>0.6867636363636364</v>
      </c>
      <c r="Q13" s="2">
        <v>5395.9</v>
      </c>
      <c r="R13" s="75">
        <v>0</v>
      </c>
      <c r="S13" s="69">
        <v>0</v>
      </c>
      <c r="T13" s="76">
        <v>0</v>
      </c>
      <c r="U13" s="136">
        <v>0</v>
      </c>
      <c r="V13" s="137"/>
      <c r="W13" s="74">
        <f t="shared" si="3"/>
        <v>0</v>
      </c>
    </row>
    <row r="14" spans="1:23" ht="12.75">
      <c r="A14" s="10">
        <v>42873</v>
      </c>
      <c r="B14" s="69">
        <v>1113.4</v>
      </c>
      <c r="C14" s="80">
        <v>486.2</v>
      </c>
      <c r="D14" s="113">
        <v>332.1</v>
      </c>
      <c r="E14" s="113">
        <f t="shared" si="0"/>
        <v>154.09999999999997</v>
      </c>
      <c r="F14" s="85">
        <v>25.8</v>
      </c>
      <c r="G14" s="85">
        <v>393.5</v>
      </c>
      <c r="H14" s="69">
        <v>2651.9</v>
      </c>
      <c r="I14" s="85">
        <v>63.4</v>
      </c>
      <c r="J14" s="85">
        <v>25.5</v>
      </c>
      <c r="K14" s="85">
        <v>0</v>
      </c>
      <c r="L14" s="85">
        <v>0</v>
      </c>
      <c r="M14" s="69">
        <f t="shared" si="1"/>
        <v>8.100000000000001</v>
      </c>
      <c r="N14" s="69">
        <v>4767.8</v>
      </c>
      <c r="O14" s="69">
        <v>4600</v>
      </c>
      <c r="P14" s="3">
        <f t="shared" si="2"/>
        <v>1.0364782608695653</v>
      </c>
      <c r="Q14" s="2">
        <v>5395.9</v>
      </c>
      <c r="R14" s="75">
        <v>0</v>
      </c>
      <c r="S14" s="69">
        <v>0</v>
      </c>
      <c r="T14" s="80">
        <v>1198.54</v>
      </c>
      <c r="U14" s="136">
        <v>0</v>
      </c>
      <c r="V14" s="137"/>
      <c r="W14" s="74">
        <f t="shared" si="3"/>
        <v>1198.54</v>
      </c>
    </row>
    <row r="15" spans="1:23" ht="12.75">
      <c r="A15" s="10">
        <v>42874</v>
      </c>
      <c r="B15" s="69">
        <v>4768.6</v>
      </c>
      <c r="C15" s="69">
        <v>271.4</v>
      </c>
      <c r="D15" s="113">
        <v>114.7</v>
      </c>
      <c r="E15" s="113">
        <f t="shared" si="0"/>
        <v>156.7</v>
      </c>
      <c r="F15" s="88">
        <v>2.8</v>
      </c>
      <c r="G15" s="88">
        <v>486</v>
      </c>
      <c r="H15" s="89">
        <v>2570.1</v>
      </c>
      <c r="I15" s="88">
        <v>74.4</v>
      </c>
      <c r="J15" s="88">
        <v>25.7</v>
      </c>
      <c r="K15" s="88">
        <v>0</v>
      </c>
      <c r="L15" s="88">
        <v>0</v>
      </c>
      <c r="M15" s="69">
        <f t="shared" si="1"/>
        <v>2074.1000000000004</v>
      </c>
      <c r="N15" s="69">
        <v>10273.1</v>
      </c>
      <c r="O15" s="78">
        <v>9800</v>
      </c>
      <c r="P15" s="3">
        <f>N15/O15</f>
        <v>1.0482755102040817</v>
      </c>
      <c r="Q15" s="2">
        <v>5395.9</v>
      </c>
      <c r="R15" s="75">
        <v>0</v>
      </c>
      <c r="S15" s="69">
        <v>0</v>
      </c>
      <c r="T15" s="80">
        <v>0</v>
      </c>
      <c r="U15" s="136">
        <v>0</v>
      </c>
      <c r="V15" s="137"/>
      <c r="W15" s="74">
        <f t="shared" si="3"/>
        <v>0</v>
      </c>
    </row>
    <row r="16" spans="1:23" ht="12.75">
      <c r="A16" s="10">
        <v>42877</v>
      </c>
      <c r="B16" s="69">
        <v>3135.3</v>
      </c>
      <c r="C16" s="80">
        <v>233.9</v>
      </c>
      <c r="D16" s="113">
        <v>96.3</v>
      </c>
      <c r="E16" s="113">
        <f t="shared" si="0"/>
        <v>137.60000000000002</v>
      </c>
      <c r="F16" s="85">
        <v>1.3</v>
      </c>
      <c r="G16" s="85">
        <v>590.4</v>
      </c>
      <c r="H16" s="69">
        <v>383.9</v>
      </c>
      <c r="I16" s="85">
        <v>121.3</v>
      </c>
      <c r="J16" s="85">
        <v>51</v>
      </c>
      <c r="K16" s="85">
        <v>0</v>
      </c>
      <c r="L16" s="85">
        <v>0</v>
      </c>
      <c r="M16" s="69">
        <f t="shared" si="1"/>
        <v>-14.200000000000543</v>
      </c>
      <c r="N16" s="69">
        <v>4502.9</v>
      </c>
      <c r="O16" s="78">
        <v>5100</v>
      </c>
      <c r="P16" s="3">
        <f t="shared" si="2"/>
        <v>0.8829215686274509</v>
      </c>
      <c r="Q16" s="2">
        <v>5395.9</v>
      </c>
      <c r="R16" s="75">
        <v>0</v>
      </c>
      <c r="S16" s="69">
        <v>0</v>
      </c>
      <c r="T16" s="80">
        <v>0</v>
      </c>
      <c r="U16" s="136">
        <v>0</v>
      </c>
      <c r="V16" s="137"/>
      <c r="W16" s="74">
        <f t="shared" si="3"/>
        <v>0</v>
      </c>
    </row>
    <row r="17" spans="1:23" ht="12.75">
      <c r="A17" s="10">
        <v>42878</v>
      </c>
      <c r="B17" s="69">
        <v>2040.5</v>
      </c>
      <c r="C17" s="80">
        <v>420.4</v>
      </c>
      <c r="D17" s="113">
        <v>16.4</v>
      </c>
      <c r="E17" s="113">
        <f t="shared" si="0"/>
        <v>404</v>
      </c>
      <c r="F17" s="85">
        <v>5.3</v>
      </c>
      <c r="G17" s="85">
        <v>-237</v>
      </c>
      <c r="H17" s="69">
        <v>153.7</v>
      </c>
      <c r="I17" s="85">
        <v>87.5</v>
      </c>
      <c r="J17" s="85">
        <v>3.2</v>
      </c>
      <c r="K17" s="85">
        <v>0</v>
      </c>
      <c r="L17" s="85">
        <v>0</v>
      </c>
      <c r="M17" s="69">
        <f t="shared" si="1"/>
        <v>-8.949999999999886</v>
      </c>
      <c r="N17" s="69">
        <v>2464.65</v>
      </c>
      <c r="O17" s="69">
        <v>3400</v>
      </c>
      <c r="P17" s="3">
        <f t="shared" si="2"/>
        <v>0.7248970588235294</v>
      </c>
      <c r="Q17" s="2">
        <v>5395.9</v>
      </c>
      <c r="R17" s="75">
        <v>0</v>
      </c>
      <c r="S17" s="69">
        <v>0</v>
      </c>
      <c r="T17" s="80">
        <v>13.4</v>
      </c>
      <c r="U17" s="136">
        <v>0</v>
      </c>
      <c r="V17" s="137"/>
      <c r="W17" s="74">
        <f t="shared" si="3"/>
        <v>13.4</v>
      </c>
    </row>
    <row r="18" spans="1:23" ht="12.75">
      <c r="A18" s="10">
        <v>42879</v>
      </c>
      <c r="B18" s="69">
        <v>601.2</v>
      </c>
      <c r="C18" s="80">
        <v>252.24</v>
      </c>
      <c r="D18" s="113">
        <v>142.2</v>
      </c>
      <c r="E18" s="113">
        <f t="shared" si="0"/>
        <v>110.04000000000002</v>
      </c>
      <c r="F18" s="85">
        <v>3.9</v>
      </c>
      <c r="G18" s="85">
        <v>933.1</v>
      </c>
      <c r="H18" s="69">
        <v>108.3</v>
      </c>
      <c r="I18" s="85">
        <v>52.1</v>
      </c>
      <c r="J18" s="85">
        <v>0.5</v>
      </c>
      <c r="K18" s="85">
        <v>0</v>
      </c>
      <c r="L18" s="85">
        <v>0</v>
      </c>
      <c r="M18" s="69">
        <f t="shared" si="1"/>
        <v>9.509999999999742</v>
      </c>
      <c r="N18" s="69">
        <v>1960.85</v>
      </c>
      <c r="O18" s="69">
        <v>3500</v>
      </c>
      <c r="P18" s="3">
        <f>N18/O18</f>
        <v>0.5602428571428572</v>
      </c>
      <c r="Q18" s="2">
        <v>5395.9</v>
      </c>
      <c r="R18" s="75">
        <v>0</v>
      </c>
      <c r="S18" s="69">
        <v>0</v>
      </c>
      <c r="T18" s="76">
        <v>0</v>
      </c>
      <c r="U18" s="136">
        <v>0</v>
      </c>
      <c r="V18" s="137"/>
      <c r="W18" s="74">
        <f t="shared" si="3"/>
        <v>0</v>
      </c>
    </row>
    <row r="19" spans="1:23" ht="12.75">
      <c r="A19" s="10">
        <v>42880</v>
      </c>
      <c r="B19" s="69">
        <v>794.7</v>
      </c>
      <c r="C19" s="80">
        <v>388.14</v>
      </c>
      <c r="D19" s="113">
        <v>26.7</v>
      </c>
      <c r="E19" s="113">
        <f t="shared" si="0"/>
        <v>361.44</v>
      </c>
      <c r="F19" s="85">
        <v>7.24</v>
      </c>
      <c r="G19" s="85">
        <v>937.7</v>
      </c>
      <c r="H19" s="69">
        <v>264.4</v>
      </c>
      <c r="I19" s="85">
        <v>81.4</v>
      </c>
      <c r="J19" s="85">
        <v>5.1</v>
      </c>
      <c r="K19" s="85">
        <v>0</v>
      </c>
      <c r="L19" s="85">
        <v>0</v>
      </c>
      <c r="M19" s="69">
        <f>N19-B19-C19-F19-G19-H19-I19-J19-K19-L19</f>
        <v>10.319999999999817</v>
      </c>
      <c r="N19" s="69">
        <v>2489</v>
      </c>
      <c r="O19" s="69">
        <v>3600</v>
      </c>
      <c r="P19" s="3">
        <f>N19/O19</f>
        <v>0.6913888888888889</v>
      </c>
      <c r="Q19" s="2">
        <v>5395.9</v>
      </c>
      <c r="R19" s="75">
        <v>0</v>
      </c>
      <c r="S19" s="69">
        <v>0</v>
      </c>
      <c r="T19" s="76">
        <v>0</v>
      </c>
      <c r="U19" s="136">
        <v>0</v>
      </c>
      <c r="V19" s="137"/>
      <c r="W19" s="74">
        <f t="shared" si="3"/>
        <v>0</v>
      </c>
    </row>
    <row r="20" spans="1:23" ht="12.75">
      <c r="A20" s="10">
        <v>42881</v>
      </c>
      <c r="B20" s="69">
        <v>796.24</v>
      </c>
      <c r="C20" s="80">
        <v>900.94</v>
      </c>
      <c r="D20" s="113">
        <v>697.8</v>
      </c>
      <c r="E20" s="113">
        <f t="shared" si="0"/>
        <v>203.1400000000001</v>
      </c>
      <c r="F20" s="85">
        <v>89.94</v>
      </c>
      <c r="G20" s="69">
        <v>1335.4</v>
      </c>
      <c r="H20" s="69">
        <v>205.9</v>
      </c>
      <c r="I20" s="85">
        <v>130</v>
      </c>
      <c r="J20" s="85">
        <v>14.1</v>
      </c>
      <c r="K20" s="85">
        <v>0</v>
      </c>
      <c r="L20" s="85">
        <v>0</v>
      </c>
      <c r="M20" s="69">
        <f>N20-B20-C20-F20-G20-H20-I20-J20-K20-L20</f>
        <v>12.579999999999467</v>
      </c>
      <c r="N20" s="69">
        <v>3485.1</v>
      </c>
      <c r="O20" s="69">
        <v>3800</v>
      </c>
      <c r="P20" s="3">
        <f>N20/O20</f>
        <v>0.9171315789473684</v>
      </c>
      <c r="Q20" s="2">
        <v>5395.9</v>
      </c>
      <c r="R20" s="75">
        <v>0</v>
      </c>
      <c r="S20" s="69">
        <v>0</v>
      </c>
      <c r="T20" s="76">
        <v>0.3</v>
      </c>
      <c r="U20" s="136">
        <v>0</v>
      </c>
      <c r="V20" s="137"/>
      <c r="W20" s="74">
        <f t="shared" si="3"/>
        <v>0.3</v>
      </c>
    </row>
    <row r="21" spans="1:23" ht="12.75">
      <c r="A21" s="10">
        <v>42884</v>
      </c>
      <c r="B21" s="69">
        <v>1196.27</v>
      </c>
      <c r="C21" s="80">
        <v>2013.5</v>
      </c>
      <c r="D21" s="113">
        <v>1869.72</v>
      </c>
      <c r="E21" s="113">
        <f t="shared" si="0"/>
        <v>143.77999999999997</v>
      </c>
      <c r="F21" s="85">
        <v>33.99</v>
      </c>
      <c r="G21" s="69">
        <v>3507.65</v>
      </c>
      <c r="H21" s="69">
        <v>94.87</v>
      </c>
      <c r="I21" s="85">
        <v>85.67</v>
      </c>
      <c r="J21" s="85">
        <v>1.23</v>
      </c>
      <c r="K21" s="85">
        <v>0</v>
      </c>
      <c r="L21" s="85">
        <v>0</v>
      </c>
      <c r="M21" s="69">
        <f t="shared" si="1"/>
        <v>-13.739999999999807</v>
      </c>
      <c r="N21" s="69">
        <v>6919.44</v>
      </c>
      <c r="O21" s="69">
        <v>8500</v>
      </c>
      <c r="P21" s="3">
        <f t="shared" si="2"/>
        <v>0.8140517647058823</v>
      </c>
      <c r="Q21" s="2">
        <v>5395.9</v>
      </c>
      <c r="R21" s="81">
        <v>0</v>
      </c>
      <c r="S21" s="80">
        <v>0</v>
      </c>
      <c r="T21" s="76">
        <v>0</v>
      </c>
      <c r="U21" s="136">
        <v>0</v>
      </c>
      <c r="V21" s="137"/>
      <c r="W21" s="74">
        <f t="shared" si="3"/>
        <v>0</v>
      </c>
    </row>
    <row r="22" spans="1:23" ht="12.75">
      <c r="A22" s="10">
        <v>42885</v>
      </c>
      <c r="B22" s="69">
        <v>6430.84</v>
      </c>
      <c r="C22" s="80">
        <v>927.9</v>
      </c>
      <c r="D22" s="113">
        <v>436.9</v>
      </c>
      <c r="E22" s="113">
        <f t="shared" si="0"/>
        <v>491</v>
      </c>
      <c r="F22" s="85">
        <v>50.45</v>
      </c>
      <c r="G22" s="69">
        <v>2999.2</v>
      </c>
      <c r="H22" s="69">
        <v>145.8</v>
      </c>
      <c r="I22" s="85">
        <v>84.3</v>
      </c>
      <c r="J22" s="85">
        <v>9.3</v>
      </c>
      <c r="K22" s="85">
        <v>0</v>
      </c>
      <c r="L22" s="85">
        <v>0</v>
      </c>
      <c r="M22" s="69">
        <f t="shared" si="1"/>
        <v>17.109999999999754</v>
      </c>
      <c r="N22" s="69">
        <v>10664.9</v>
      </c>
      <c r="O22" s="69">
        <v>12100</v>
      </c>
      <c r="P22" s="3">
        <f>N22/O22</f>
        <v>0.881396694214876</v>
      </c>
      <c r="Q22" s="2">
        <v>5395.9</v>
      </c>
      <c r="R22" s="81">
        <v>0</v>
      </c>
      <c r="S22" s="80">
        <v>0</v>
      </c>
      <c r="T22" s="76">
        <v>0</v>
      </c>
      <c r="U22" s="136">
        <v>0</v>
      </c>
      <c r="V22" s="137"/>
      <c r="W22" s="74">
        <f t="shared" si="3"/>
        <v>0</v>
      </c>
    </row>
    <row r="23" spans="1:23" ht="13.5" thickBot="1">
      <c r="A23" s="10">
        <v>42886</v>
      </c>
      <c r="B23" s="69">
        <v>9161.62</v>
      </c>
      <c r="C23" s="80">
        <v>347.9</v>
      </c>
      <c r="D23" s="113">
        <v>14</v>
      </c>
      <c r="E23" s="113">
        <f t="shared" si="0"/>
        <v>333.9</v>
      </c>
      <c r="F23" s="85">
        <v>13.3</v>
      </c>
      <c r="G23" s="69">
        <v>345.95</v>
      </c>
      <c r="H23" s="69">
        <v>185.8</v>
      </c>
      <c r="I23" s="85">
        <v>66.5</v>
      </c>
      <c r="J23" s="85">
        <v>46.7</v>
      </c>
      <c r="K23" s="85">
        <v>0</v>
      </c>
      <c r="L23" s="85">
        <v>0</v>
      </c>
      <c r="M23" s="69">
        <f t="shared" si="1"/>
        <v>16.929999999999993</v>
      </c>
      <c r="N23" s="69">
        <v>10184.7</v>
      </c>
      <c r="O23" s="69">
        <v>5800</v>
      </c>
      <c r="P23" s="3">
        <f t="shared" si="2"/>
        <v>1.7559827586206898</v>
      </c>
      <c r="Q23" s="2">
        <v>5395.9</v>
      </c>
      <c r="R23" s="81">
        <v>0</v>
      </c>
      <c r="S23" s="80">
        <v>0</v>
      </c>
      <c r="T23" s="76">
        <v>469.44</v>
      </c>
      <c r="U23" s="136">
        <v>0</v>
      </c>
      <c r="V23" s="137"/>
      <c r="W23" s="74">
        <f t="shared" si="3"/>
        <v>469.44</v>
      </c>
    </row>
    <row r="24" spans="1:23" ht="13.5" thickBot="1">
      <c r="A24" s="90" t="s">
        <v>28</v>
      </c>
      <c r="B24" s="92">
        <f aca="true" t="shared" si="4" ref="B24:O24">SUM(B4:B23)</f>
        <v>58535.469999999994</v>
      </c>
      <c r="C24" s="92">
        <f t="shared" si="4"/>
        <v>8890.27</v>
      </c>
      <c r="D24" s="115">
        <f t="shared" si="4"/>
        <v>4148.92</v>
      </c>
      <c r="E24" s="115">
        <f t="shared" si="4"/>
        <v>4741.349999999999</v>
      </c>
      <c r="F24" s="92">
        <f t="shared" si="4"/>
        <v>389.7200000000001</v>
      </c>
      <c r="G24" s="92">
        <f t="shared" si="4"/>
        <v>13815.400000000001</v>
      </c>
      <c r="H24" s="92">
        <f t="shared" si="4"/>
        <v>22917.969999999998</v>
      </c>
      <c r="I24" s="92">
        <f t="shared" si="4"/>
        <v>1568.7699999999998</v>
      </c>
      <c r="J24" s="92">
        <f t="shared" si="4"/>
        <v>500.93</v>
      </c>
      <c r="K24" s="92">
        <f t="shared" si="4"/>
        <v>533.6</v>
      </c>
      <c r="L24" s="92">
        <f t="shared" si="4"/>
        <v>2672.3</v>
      </c>
      <c r="M24" s="91">
        <f t="shared" si="4"/>
        <v>2882.0099999999993</v>
      </c>
      <c r="N24" s="91">
        <f t="shared" si="4"/>
        <v>112706.44</v>
      </c>
      <c r="O24" s="91">
        <f t="shared" si="4"/>
        <v>112500</v>
      </c>
      <c r="P24" s="93">
        <f>N24/O24</f>
        <v>1.0018350222222223</v>
      </c>
      <c r="Q24" s="2"/>
      <c r="R24" s="82">
        <f>SUM(R4:R23)</f>
        <v>1.95</v>
      </c>
      <c r="S24" s="82">
        <f>SUM(S4:S23)</f>
        <v>0</v>
      </c>
      <c r="T24" s="82">
        <f>SUM(T4:T23)</f>
        <v>2764.02</v>
      </c>
      <c r="U24" s="125">
        <f>SUM(U4:U23)</f>
        <v>1</v>
      </c>
      <c r="V24" s="126"/>
      <c r="W24" s="82">
        <f>R24+S24+U24+T24+V24</f>
        <v>2766.97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7" t="s">
        <v>33</v>
      </c>
      <c r="S27" s="127"/>
      <c r="T27" s="127"/>
      <c r="U27" s="127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29</v>
      </c>
      <c r="S28" s="128"/>
      <c r="T28" s="128"/>
      <c r="U28" s="128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>
        <v>42887</v>
      </c>
      <c r="S29" s="132">
        <f>'[2]травень'!$D$97</f>
        <v>1135.71022</v>
      </c>
      <c r="T29" s="132"/>
      <c r="U29" s="132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/>
      <c r="S30" s="132"/>
      <c r="T30" s="132"/>
      <c r="U30" s="132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33" t="s">
        <v>45</v>
      </c>
      <c r="T32" s="134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5" t="s">
        <v>40</v>
      </c>
      <c r="T33" s="135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7" t="s">
        <v>30</v>
      </c>
      <c r="S37" s="127"/>
      <c r="T37" s="127"/>
      <c r="U37" s="127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4" t="s">
        <v>31</v>
      </c>
      <c r="S38" s="124"/>
      <c r="T38" s="124"/>
      <c r="U38" s="124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9">
        <v>42887</v>
      </c>
      <c r="S39" s="131">
        <v>59637.061719999954</v>
      </c>
      <c r="T39" s="131"/>
      <c r="U39" s="131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/>
      <c r="S40" s="131"/>
      <c r="T40" s="131"/>
      <c r="U40" s="131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3:T33"/>
    <mergeCell ref="R37:U37"/>
    <mergeCell ref="R38:U38"/>
    <mergeCell ref="R39:R40"/>
    <mergeCell ref="S39:U40"/>
    <mergeCell ref="U24:V24"/>
    <mergeCell ref="R27:U27"/>
    <mergeCell ref="R28:U28"/>
    <mergeCell ref="R29:R30"/>
    <mergeCell ref="S29:U30"/>
    <mergeCell ref="S32:T32"/>
    <mergeCell ref="U17:V17"/>
    <mergeCell ref="U18:V18"/>
    <mergeCell ref="U19:V19"/>
    <mergeCell ref="U20:V20"/>
    <mergeCell ref="U21:V21"/>
    <mergeCell ref="U23:V23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G2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29" sqref="S29:U3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0" t="s">
        <v>96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2"/>
      <c r="Q1" s="1"/>
      <c r="R1" s="143" t="s">
        <v>98</v>
      </c>
      <c r="S1" s="144"/>
      <c r="T1" s="144"/>
      <c r="U1" s="144"/>
      <c r="V1" s="144"/>
      <c r="W1" s="145"/>
    </row>
    <row r="2" spans="1:23" ht="15" thickBot="1">
      <c r="A2" s="146" t="s">
        <v>99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8"/>
      <c r="Q2" s="1"/>
      <c r="R2" s="149" t="s">
        <v>100</v>
      </c>
      <c r="S2" s="150"/>
      <c r="T2" s="150"/>
      <c r="U2" s="150"/>
      <c r="V2" s="150"/>
      <c r="W2" s="151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97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2" t="s">
        <v>47</v>
      </c>
      <c r="V3" s="153"/>
      <c r="W3" s="25" t="s">
        <v>27</v>
      </c>
    </row>
    <row r="4" spans="1:23" ht="12.75">
      <c r="A4" s="10">
        <v>42887</v>
      </c>
      <c r="B4" s="69">
        <v>1084.3</v>
      </c>
      <c r="C4" s="69">
        <v>213.9</v>
      </c>
      <c r="D4" s="113">
        <v>33.6</v>
      </c>
      <c r="E4" s="113">
        <f aca="true" t="shared" si="0" ref="E4:E23">C4-D4</f>
        <v>180.3</v>
      </c>
      <c r="F4" s="69">
        <v>10.9</v>
      </c>
      <c r="G4" s="69">
        <v>128.4</v>
      </c>
      <c r="H4" s="73">
        <v>293.8</v>
      </c>
      <c r="I4" s="85">
        <v>136.6</v>
      </c>
      <c r="J4" s="85">
        <v>30.5</v>
      </c>
      <c r="K4" s="85">
        <v>0</v>
      </c>
      <c r="L4" s="69">
        <v>2874.5</v>
      </c>
      <c r="M4" s="69">
        <f aca="true" t="shared" si="1" ref="M4:M23">N4-B4-C4-F4-G4-H4-I4-J4-K4-L4</f>
        <v>-5.600000000000364</v>
      </c>
      <c r="N4" s="69">
        <v>4767.3</v>
      </c>
      <c r="O4" s="69">
        <v>4700</v>
      </c>
      <c r="P4" s="3">
        <f aca="true" t="shared" si="2" ref="P4:P23">N4/O4</f>
        <v>1.0143191489361703</v>
      </c>
      <c r="Q4" s="2">
        <f>AVERAGE(N4:N23)</f>
        <v>5554.025000000001</v>
      </c>
      <c r="R4" s="71">
        <v>11.2</v>
      </c>
      <c r="S4" s="72">
        <v>0</v>
      </c>
      <c r="T4" s="73">
        <v>639.54</v>
      </c>
      <c r="U4" s="154">
        <v>0</v>
      </c>
      <c r="V4" s="155"/>
      <c r="W4" s="74">
        <f>R4+S4+U4+T4+V4</f>
        <v>650.74</v>
      </c>
    </row>
    <row r="5" spans="1:23" ht="12.75">
      <c r="A5" s="10">
        <v>42888</v>
      </c>
      <c r="B5" s="69">
        <v>2441.2</v>
      </c>
      <c r="C5" s="69">
        <v>244.7</v>
      </c>
      <c r="D5" s="113">
        <v>0.7</v>
      </c>
      <c r="E5" s="113">
        <f t="shared" si="0"/>
        <v>244</v>
      </c>
      <c r="F5" s="69">
        <v>8.5</v>
      </c>
      <c r="G5" s="69">
        <v>111.4</v>
      </c>
      <c r="H5" s="86">
        <v>424.1</v>
      </c>
      <c r="I5" s="85">
        <v>79.3</v>
      </c>
      <c r="J5" s="85">
        <v>11.7</v>
      </c>
      <c r="K5" s="85">
        <v>0</v>
      </c>
      <c r="L5" s="69">
        <v>0</v>
      </c>
      <c r="M5" s="69">
        <f t="shared" si="1"/>
        <v>13.200000000000049</v>
      </c>
      <c r="N5" s="69">
        <v>3334.1</v>
      </c>
      <c r="O5" s="69">
        <v>3800</v>
      </c>
      <c r="P5" s="3">
        <f t="shared" si="2"/>
        <v>0.8773947368421052</v>
      </c>
      <c r="Q5" s="2">
        <v>5554</v>
      </c>
      <c r="R5" s="75">
        <v>0</v>
      </c>
      <c r="S5" s="69">
        <v>0</v>
      </c>
      <c r="T5" s="76">
        <v>35.2</v>
      </c>
      <c r="U5" s="136">
        <v>0</v>
      </c>
      <c r="V5" s="137"/>
      <c r="W5" s="74">
        <f aca="true" t="shared" si="3" ref="W5:W23">R5+S5+U5+T5+V5</f>
        <v>35.2</v>
      </c>
    </row>
    <row r="6" spans="1:23" ht="12.75">
      <c r="A6" s="10">
        <v>42892</v>
      </c>
      <c r="B6" s="69">
        <v>3092.4</v>
      </c>
      <c r="C6" s="69">
        <v>104</v>
      </c>
      <c r="D6" s="113">
        <v>33.4</v>
      </c>
      <c r="E6" s="113">
        <f t="shared" si="0"/>
        <v>70.6</v>
      </c>
      <c r="F6" s="78">
        <v>2.3</v>
      </c>
      <c r="G6" s="69">
        <v>132.2</v>
      </c>
      <c r="H6" s="87">
        <v>365.3</v>
      </c>
      <c r="I6" s="85">
        <v>86.2</v>
      </c>
      <c r="J6" s="85">
        <v>16.4</v>
      </c>
      <c r="K6" s="85">
        <v>0</v>
      </c>
      <c r="L6" s="85">
        <v>0</v>
      </c>
      <c r="M6" s="69">
        <f t="shared" si="1"/>
        <v>11.699999999999953</v>
      </c>
      <c r="N6" s="69">
        <v>3810.5</v>
      </c>
      <c r="O6" s="69">
        <v>4800</v>
      </c>
      <c r="P6" s="3">
        <f t="shared" si="2"/>
        <v>0.7938541666666666</v>
      </c>
      <c r="Q6" s="2">
        <v>5554</v>
      </c>
      <c r="R6" s="77">
        <v>0</v>
      </c>
      <c r="S6" s="78">
        <v>0</v>
      </c>
      <c r="T6" s="79">
        <v>0</v>
      </c>
      <c r="U6" s="138">
        <v>1</v>
      </c>
      <c r="V6" s="139"/>
      <c r="W6" s="74">
        <f t="shared" si="3"/>
        <v>1</v>
      </c>
    </row>
    <row r="7" spans="1:23" ht="12.75">
      <c r="A7" s="10">
        <v>42893</v>
      </c>
      <c r="B7" s="84">
        <v>7197.1</v>
      </c>
      <c r="C7" s="69">
        <v>299.6</v>
      </c>
      <c r="D7" s="113">
        <v>4.9</v>
      </c>
      <c r="E7" s="113">
        <f t="shared" si="0"/>
        <v>294.70000000000005</v>
      </c>
      <c r="F7" s="69">
        <v>26</v>
      </c>
      <c r="G7" s="69">
        <v>281.2</v>
      </c>
      <c r="H7" s="86">
        <v>304.1</v>
      </c>
      <c r="I7" s="85">
        <v>58</v>
      </c>
      <c r="J7" s="85">
        <v>43.4</v>
      </c>
      <c r="K7" s="85">
        <v>546</v>
      </c>
      <c r="L7" s="85">
        <v>0</v>
      </c>
      <c r="M7" s="69">
        <f t="shared" si="1"/>
        <v>12.499999999999318</v>
      </c>
      <c r="N7" s="69">
        <v>8767.9</v>
      </c>
      <c r="O7" s="69">
        <v>5500</v>
      </c>
      <c r="P7" s="3">
        <f t="shared" si="2"/>
        <v>1.5941636363636362</v>
      </c>
      <c r="Q7" s="2">
        <v>5554</v>
      </c>
      <c r="R7" s="77">
        <v>174.5</v>
      </c>
      <c r="S7" s="78">
        <v>0</v>
      </c>
      <c r="T7" s="79">
        <v>140</v>
      </c>
      <c r="U7" s="138">
        <v>0</v>
      </c>
      <c r="V7" s="139"/>
      <c r="W7" s="74">
        <f t="shared" si="3"/>
        <v>314.5</v>
      </c>
    </row>
    <row r="8" spans="1:23" ht="12.75">
      <c r="A8" s="10">
        <v>42894</v>
      </c>
      <c r="B8" s="69">
        <v>2858.7</v>
      </c>
      <c r="C8" s="80">
        <v>101.6</v>
      </c>
      <c r="D8" s="113">
        <v>20.4</v>
      </c>
      <c r="E8" s="113">
        <f t="shared" si="0"/>
        <v>81.19999999999999</v>
      </c>
      <c r="F8" s="85">
        <v>41.7</v>
      </c>
      <c r="G8" s="85">
        <v>217.7</v>
      </c>
      <c r="H8" s="69">
        <v>353.8</v>
      </c>
      <c r="I8" s="85">
        <v>146.2</v>
      </c>
      <c r="J8" s="85">
        <v>31</v>
      </c>
      <c r="K8" s="85">
        <v>0</v>
      </c>
      <c r="L8" s="85">
        <v>0</v>
      </c>
      <c r="M8" s="69">
        <f t="shared" si="1"/>
        <v>10</v>
      </c>
      <c r="N8" s="69">
        <v>3760.7</v>
      </c>
      <c r="O8" s="69">
        <v>4700</v>
      </c>
      <c r="P8" s="3">
        <f t="shared" si="2"/>
        <v>0.8001489361702128</v>
      </c>
      <c r="Q8" s="2">
        <v>5554</v>
      </c>
      <c r="R8" s="77">
        <v>0</v>
      </c>
      <c r="S8" s="78">
        <v>0</v>
      </c>
      <c r="T8" s="76">
        <v>120.9</v>
      </c>
      <c r="U8" s="136">
        <v>0</v>
      </c>
      <c r="V8" s="137"/>
      <c r="W8" s="74">
        <f t="shared" si="3"/>
        <v>120.9</v>
      </c>
    </row>
    <row r="9" spans="1:23" ht="12.75">
      <c r="A9" s="10">
        <v>42895</v>
      </c>
      <c r="B9" s="69">
        <v>2023.7</v>
      </c>
      <c r="C9" s="80">
        <v>78.1</v>
      </c>
      <c r="D9" s="113">
        <v>9.2</v>
      </c>
      <c r="E9" s="113">
        <f>C9-D9</f>
        <v>68.89999999999999</v>
      </c>
      <c r="F9" s="85">
        <v>7.7</v>
      </c>
      <c r="G9" s="89">
        <v>243.5</v>
      </c>
      <c r="H9" s="69">
        <v>469</v>
      </c>
      <c r="I9" s="85">
        <v>123.2</v>
      </c>
      <c r="J9" s="85">
        <v>84</v>
      </c>
      <c r="K9" s="85">
        <v>0</v>
      </c>
      <c r="L9" s="85">
        <v>0</v>
      </c>
      <c r="M9" s="69">
        <f>N9-B9-C9-F9-G9-H9-I9-J9-K9-L9</f>
        <v>13.499999999999702</v>
      </c>
      <c r="N9" s="69">
        <v>3042.7</v>
      </c>
      <c r="O9" s="69">
        <v>3500</v>
      </c>
      <c r="P9" s="3">
        <f t="shared" si="2"/>
        <v>0.8693428571428571</v>
      </c>
      <c r="Q9" s="2">
        <v>5554</v>
      </c>
      <c r="R9" s="77">
        <v>0</v>
      </c>
      <c r="S9" s="78">
        <v>0</v>
      </c>
      <c r="T9" s="76">
        <v>50.6</v>
      </c>
      <c r="U9" s="136">
        <v>0</v>
      </c>
      <c r="V9" s="137"/>
      <c r="W9" s="74">
        <f t="shared" si="3"/>
        <v>50.6</v>
      </c>
    </row>
    <row r="10" spans="1:23" ht="12.75">
      <c r="A10" s="10">
        <v>42898</v>
      </c>
      <c r="B10" s="69">
        <v>3915.4</v>
      </c>
      <c r="C10" s="80">
        <v>311.1</v>
      </c>
      <c r="D10" s="113">
        <v>180.2</v>
      </c>
      <c r="E10" s="113">
        <f>C10-D10</f>
        <v>130.90000000000003</v>
      </c>
      <c r="F10" s="85">
        <v>11.4</v>
      </c>
      <c r="G10" s="85">
        <v>1980.5</v>
      </c>
      <c r="H10" s="69">
        <v>725.9</v>
      </c>
      <c r="I10" s="85">
        <v>77.2</v>
      </c>
      <c r="J10" s="85">
        <v>43.1</v>
      </c>
      <c r="K10" s="85">
        <v>0</v>
      </c>
      <c r="L10" s="85">
        <v>0</v>
      </c>
      <c r="M10" s="69">
        <f t="shared" si="1"/>
        <v>11.70000000000011</v>
      </c>
      <c r="N10" s="69">
        <v>7076.3</v>
      </c>
      <c r="O10" s="78">
        <v>3200</v>
      </c>
      <c r="P10" s="3">
        <f t="shared" si="2"/>
        <v>2.21134375</v>
      </c>
      <c r="Q10" s="2">
        <v>5554</v>
      </c>
      <c r="R10" s="77">
        <v>0</v>
      </c>
      <c r="S10" s="78">
        <v>0</v>
      </c>
      <c r="T10" s="76">
        <v>0</v>
      </c>
      <c r="U10" s="136">
        <v>0</v>
      </c>
      <c r="V10" s="137"/>
      <c r="W10" s="74">
        <f>R10+S10+U10+T10+V10</f>
        <v>0</v>
      </c>
    </row>
    <row r="11" spans="1:23" ht="12.75">
      <c r="A11" s="10">
        <v>42899</v>
      </c>
      <c r="B11" s="69">
        <v>1075.6</v>
      </c>
      <c r="C11" s="80">
        <v>316.1</v>
      </c>
      <c r="D11" s="113">
        <v>28.3</v>
      </c>
      <c r="E11" s="113">
        <f t="shared" si="0"/>
        <v>287.8</v>
      </c>
      <c r="F11" s="85">
        <v>1.6</v>
      </c>
      <c r="G11" s="85">
        <v>311</v>
      </c>
      <c r="H11" s="69">
        <v>416</v>
      </c>
      <c r="I11" s="85">
        <v>103.7</v>
      </c>
      <c r="J11" s="85">
        <v>5.6</v>
      </c>
      <c r="K11" s="85">
        <v>0</v>
      </c>
      <c r="L11" s="85">
        <v>0</v>
      </c>
      <c r="M11" s="69">
        <f>N11-B11-C11-F11-G11-H11-I11-J11-K11-L11</f>
        <v>15.700000000000225</v>
      </c>
      <c r="N11" s="69">
        <v>2245.3</v>
      </c>
      <c r="O11" s="69">
        <v>5100</v>
      </c>
      <c r="P11" s="3">
        <f t="shared" si="2"/>
        <v>0.4402549019607844</v>
      </c>
      <c r="Q11" s="2">
        <v>5554</v>
      </c>
      <c r="R11" s="75">
        <v>0</v>
      </c>
      <c r="S11" s="69">
        <v>0</v>
      </c>
      <c r="T11" s="76">
        <v>84.2</v>
      </c>
      <c r="U11" s="136">
        <v>0</v>
      </c>
      <c r="V11" s="137"/>
      <c r="W11" s="74">
        <f t="shared" si="3"/>
        <v>84.2</v>
      </c>
    </row>
    <row r="12" spans="1:23" ht="12.75">
      <c r="A12" s="10">
        <v>42900</v>
      </c>
      <c r="B12" s="84">
        <v>3575.69</v>
      </c>
      <c r="C12" s="80">
        <v>168.87</v>
      </c>
      <c r="D12" s="113">
        <v>17.85</v>
      </c>
      <c r="E12" s="113">
        <f t="shared" si="0"/>
        <v>151.02</v>
      </c>
      <c r="F12" s="85">
        <v>0</v>
      </c>
      <c r="G12" s="85">
        <v>281.3</v>
      </c>
      <c r="H12" s="69">
        <v>448.76</v>
      </c>
      <c r="I12" s="85">
        <v>89.93</v>
      </c>
      <c r="J12" s="85">
        <v>19.63</v>
      </c>
      <c r="K12" s="85">
        <v>0</v>
      </c>
      <c r="L12" s="85">
        <v>0</v>
      </c>
      <c r="M12" s="69">
        <f>N12-B12-C12-F12-G12-H12-I12-J12-K12-L12</f>
        <v>12.319999999999876</v>
      </c>
      <c r="N12" s="69">
        <v>4596.5</v>
      </c>
      <c r="O12" s="69">
        <v>7800</v>
      </c>
      <c r="P12" s="3">
        <f t="shared" si="2"/>
        <v>0.5892948717948718</v>
      </c>
      <c r="Q12" s="2">
        <v>5554</v>
      </c>
      <c r="R12" s="75">
        <v>0</v>
      </c>
      <c r="S12" s="69">
        <v>3.5</v>
      </c>
      <c r="T12" s="76">
        <v>4.9</v>
      </c>
      <c r="U12" s="136">
        <v>0</v>
      </c>
      <c r="V12" s="137"/>
      <c r="W12" s="74">
        <f t="shared" si="3"/>
        <v>8.4</v>
      </c>
    </row>
    <row r="13" spans="1:23" ht="12.75">
      <c r="A13" s="10">
        <v>42901</v>
      </c>
      <c r="B13" s="69">
        <v>8512.5</v>
      </c>
      <c r="C13" s="80">
        <v>145.3</v>
      </c>
      <c r="D13" s="113">
        <v>39.4</v>
      </c>
      <c r="E13" s="113">
        <f t="shared" si="0"/>
        <v>105.9</v>
      </c>
      <c r="F13" s="85">
        <v>19.7</v>
      </c>
      <c r="G13" s="85">
        <v>345.4</v>
      </c>
      <c r="H13" s="69">
        <v>567.9</v>
      </c>
      <c r="I13" s="85">
        <v>97.2</v>
      </c>
      <c r="J13" s="85">
        <v>31.4</v>
      </c>
      <c r="K13" s="85">
        <v>0</v>
      </c>
      <c r="L13" s="85">
        <v>0</v>
      </c>
      <c r="M13" s="69">
        <f>N13-B13-C13-F13-G13-H13-I13-J13-K13-L13</f>
        <v>9.300000000000772</v>
      </c>
      <c r="N13" s="69">
        <v>9728.7</v>
      </c>
      <c r="O13" s="69">
        <v>8200</v>
      </c>
      <c r="P13" s="3">
        <f t="shared" si="2"/>
        <v>1.1864268292682927</v>
      </c>
      <c r="Q13" s="2">
        <v>5554</v>
      </c>
      <c r="R13" s="75">
        <v>0</v>
      </c>
      <c r="S13" s="69">
        <v>0</v>
      </c>
      <c r="T13" s="76">
        <v>105.65</v>
      </c>
      <c r="U13" s="136">
        <v>0</v>
      </c>
      <c r="V13" s="137"/>
      <c r="W13" s="74">
        <f t="shared" si="3"/>
        <v>105.65</v>
      </c>
    </row>
    <row r="14" spans="1:23" ht="12.75">
      <c r="A14" s="10">
        <v>42902</v>
      </c>
      <c r="B14" s="69">
        <v>2505.1</v>
      </c>
      <c r="C14" s="80">
        <v>249.6</v>
      </c>
      <c r="D14" s="113">
        <v>109.9</v>
      </c>
      <c r="E14" s="113">
        <f t="shared" si="0"/>
        <v>139.7</v>
      </c>
      <c r="F14" s="85">
        <v>13.1</v>
      </c>
      <c r="G14" s="85">
        <v>402.8</v>
      </c>
      <c r="H14" s="69">
        <v>693.5</v>
      </c>
      <c r="I14" s="85">
        <v>98.3</v>
      </c>
      <c r="J14" s="85">
        <v>8.3</v>
      </c>
      <c r="K14" s="85">
        <v>0</v>
      </c>
      <c r="L14" s="85">
        <v>0</v>
      </c>
      <c r="M14" s="69">
        <f t="shared" si="1"/>
        <v>27.20000000000041</v>
      </c>
      <c r="N14" s="69">
        <v>3997.9</v>
      </c>
      <c r="O14" s="69">
        <v>4400</v>
      </c>
      <c r="P14" s="3">
        <f t="shared" si="2"/>
        <v>0.9086136363636363</v>
      </c>
      <c r="Q14" s="2">
        <v>5554</v>
      </c>
      <c r="R14" s="75">
        <v>0</v>
      </c>
      <c r="S14" s="69">
        <v>0</v>
      </c>
      <c r="T14" s="80">
        <v>0.4</v>
      </c>
      <c r="U14" s="136">
        <v>0</v>
      </c>
      <c r="V14" s="137"/>
      <c r="W14" s="74">
        <f t="shared" si="3"/>
        <v>0.4</v>
      </c>
    </row>
    <row r="15" spans="1:23" ht="12.75">
      <c r="A15" s="10">
        <v>42905</v>
      </c>
      <c r="B15" s="69">
        <v>2017.8</v>
      </c>
      <c r="C15" s="69">
        <v>376.4</v>
      </c>
      <c r="D15" s="113">
        <v>271.4</v>
      </c>
      <c r="E15" s="113">
        <f t="shared" si="0"/>
        <v>105</v>
      </c>
      <c r="F15" s="88">
        <v>4.95</v>
      </c>
      <c r="G15" s="88">
        <v>393.1</v>
      </c>
      <c r="H15" s="89">
        <v>1008.3</v>
      </c>
      <c r="I15" s="88">
        <v>148.8</v>
      </c>
      <c r="J15" s="88">
        <v>13.5</v>
      </c>
      <c r="K15" s="88">
        <v>0</v>
      </c>
      <c r="L15" s="88">
        <v>0</v>
      </c>
      <c r="M15" s="69">
        <f t="shared" si="1"/>
        <v>89.84999999999985</v>
      </c>
      <c r="N15" s="69">
        <v>4052.7</v>
      </c>
      <c r="O15" s="78">
        <v>4800</v>
      </c>
      <c r="P15" s="3">
        <f>N15/O15</f>
        <v>0.8443124999999999</v>
      </c>
      <c r="Q15" s="2">
        <v>5554</v>
      </c>
      <c r="R15" s="75">
        <v>0</v>
      </c>
      <c r="S15" s="69">
        <v>0</v>
      </c>
      <c r="T15" s="80">
        <v>34</v>
      </c>
      <c r="U15" s="136">
        <v>0</v>
      </c>
      <c r="V15" s="137"/>
      <c r="W15" s="74">
        <f t="shared" si="3"/>
        <v>34</v>
      </c>
    </row>
    <row r="16" spans="1:23" ht="12.75">
      <c r="A16" s="10">
        <v>42906</v>
      </c>
      <c r="B16" s="69">
        <v>2832.9</v>
      </c>
      <c r="C16" s="80">
        <v>444.2</v>
      </c>
      <c r="D16" s="113">
        <v>153.1</v>
      </c>
      <c r="E16" s="113">
        <f t="shared" si="0"/>
        <v>291.1</v>
      </c>
      <c r="F16" s="85">
        <v>18.1</v>
      </c>
      <c r="G16" s="85">
        <v>531.3</v>
      </c>
      <c r="H16" s="69">
        <v>395.1</v>
      </c>
      <c r="I16" s="85">
        <v>147.3</v>
      </c>
      <c r="J16" s="85">
        <v>151.7</v>
      </c>
      <c r="K16" s="85">
        <v>0</v>
      </c>
      <c r="L16" s="85">
        <v>0</v>
      </c>
      <c r="M16" s="69">
        <f t="shared" si="1"/>
        <v>19.299999999999613</v>
      </c>
      <c r="N16" s="69">
        <v>4539.9</v>
      </c>
      <c r="O16" s="78">
        <v>4500</v>
      </c>
      <c r="P16" s="3">
        <f t="shared" si="2"/>
        <v>1.0088666666666666</v>
      </c>
      <c r="Q16" s="2">
        <v>5554</v>
      </c>
      <c r="R16" s="75">
        <v>0</v>
      </c>
      <c r="S16" s="69">
        <v>0</v>
      </c>
      <c r="T16" s="80">
        <v>0</v>
      </c>
      <c r="U16" s="136">
        <v>0</v>
      </c>
      <c r="V16" s="137"/>
      <c r="W16" s="74">
        <f t="shared" si="3"/>
        <v>0</v>
      </c>
    </row>
    <row r="17" spans="1:23" ht="12.75">
      <c r="A17" s="10">
        <v>42907</v>
      </c>
      <c r="B17" s="69">
        <v>3485.6</v>
      </c>
      <c r="C17" s="80">
        <v>230.7</v>
      </c>
      <c r="D17" s="113">
        <v>54.7</v>
      </c>
      <c r="E17" s="113">
        <f t="shared" si="0"/>
        <v>176</v>
      </c>
      <c r="F17" s="85">
        <v>36.2</v>
      </c>
      <c r="G17" s="85">
        <v>442.6</v>
      </c>
      <c r="H17" s="69">
        <v>300.2</v>
      </c>
      <c r="I17" s="85">
        <v>80.4</v>
      </c>
      <c r="J17" s="85">
        <v>4.1</v>
      </c>
      <c r="K17" s="85">
        <v>0</v>
      </c>
      <c r="L17" s="85">
        <v>0</v>
      </c>
      <c r="M17" s="69">
        <f t="shared" si="1"/>
        <v>23.19999999999998</v>
      </c>
      <c r="N17" s="69">
        <v>4603</v>
      </c>
      <c r="O17" s="69">
        <v>4400</v>
      </c>
      <c r="P17" s="3">
        <f t="shared" si="2"/>
        <v>1.0461363636363636</v>
      </c>
      <c r="Q17" s="2">
        <v>5554</v>
      </c>
      <c r="R17" s="75">
        <v>1112.6</v>
      </c>
      <c r="S17" s="69">
        <v>0</v>
      </c>
      <c r="T17" s="80">
        <v>555.33</v>
      </c>
      <c r="U17" s="136">
        <v>0</v>
      </c>
      <c r="V17" s="137"/>
      <c r="W17" s="74">
        <f t="shared" si="3"/>
        <v>1667.9299999999998</v>
      </c>
    </row>
    <row r="18" spans="1:23" ht="12.75">
      <c r="A18" s="10">
        <v>42908</v>
      </c>
      <c r="B18" s="69">
        <v>3167.3</v>
      </c>
      <c r="C18" s="80">
        <v>463.6</v>
      </c>
      <c r="D18" s="113">
        <v>40.5</v>
      </c>
      <c r="E18" s="113">
        <f t="shared" si="0"/>
        <v>423.1</v>
      </c>
      <c r="F18" s="85">
        <v>262.7</v>
      </c>
      <c r="G18" s="85">
        <v>1319.5</v>
      </c>
      <c r="H18" s="69">
        <v>228.5</v>
      </c>
      <c r="I18" s="85">
        <v>122.6</v>
      </c>
      <c r="J18" s="85">
        <v>1</v>
      </c>
      <c r="K18" s="85">
        <v>0</v>
      </c>
      <c r="L18" s="85">
        <v>0</v>
      </c>
      <c r="M18" s="69">
        <f t="shared" si="1"/>
        <v>18.29999999999987</v>
      </c>
      <c r="N18" s="69">
        <v>5583.5</v>
      </c>
      <c r="O18" s="69">
        <v>4500</v>
      </c>
      <c r="P18" s="3">
        <f>N18/O18</f>
        <v>1.2407777777777778</v>
      </c>
      <c r="Q18" s="2">
        <v>5554</v>
      </c>
      <c r="R18" s="75">
        <v>0</v>
      </c>
      <c r="S18" s="69">
        <v>0</v>
      </c>
      <c r="T18" s="76">
        <v>0</v>
      </c>
      <c r="U18" s="136">
        <v>0</v>
      </c>
      <c r="V18" s="137"/>
      <c r="W18" s="74">
        <f t="shared" si="3"/>
        <v>0</v>
      </c>
    </row>
    <row r="19" spans="1:23" ht="12.75">
      <c r="A19" s="10">
        <v>42909</v>
      </c>
      <c r="B19" s="69">
        <v>2591.3</v>
      </c>
      <c r="C19" s="80">
        <v>184.9</v>
      </c>
      <c r="D19" s="113">
        <v>64.3</v>
      </c>
      <c r="E19" s="113">
        <f t="shared" si="0"/>
        <v>120.60000000000001</v>
      </c>
      <c r="F19" s="85">
        <v>2.1</v>
      </c>
      <c r="G19" s="85">
        <v>712.8</v>
      </c>
      <c r="H19" s="69">
        <v>163.1</v>
      </c>
      <c r="I19" s="85">
        <v>100.8</v>
      </c>
      <c r="J19" s="85">
        <v>142.7</v>
      </c>
      <c r="K19" s="85">
        <v>0</v>
      </c>
      <c r="L19" s="85">
        <v>0</v>
      </c>
      <c r="M19" s="69">
        <f>N19-B19-C19-F19-G19-H19-I19-J19-K19-L19</f>
        <v>13.29999999999984</v>
      </c>
      <c r="N19" s="69">
        <v>3911</v>
      </c>
      <c r="O19" s="69">
        <v>3600</v>
      </c>
      <c r="P19" s="3">
        <f>N19/O19</f>
        <v>1.0863888888888888</v>
      </c>
      <c r="Q19" s="2">
        <v>5554</v>
      </c>
      <c r="R19" s="75">
        <v>0</v>
      </c>
      <c r="S19" s="69">
        <v>0</v>
      </c>
      <c r="T19" s="76">
        <v>0</v>
      </c>
      <c r="U19" s="136">
        <v>0</v>
      </c>
      <c r="V19" s="137"/>
      <c r="W19" s="74">
        <f t="shared" si="3"/>
        <v>0</v>
      </c>
    </row>
    <row r="20" spans="1:23" ht="12.75">
      <c r="A20" s="10">
        <v>42912</v>
      </c>
      <c r="B20" s="69">
        <v>886.7</v>
      </c>
      <c r="C20" s="80">
        <v>481.1</v>
      </c>
      <c r="D20" s="113">
        <v>321.2</v>
      </c>
      <c r="E20" s="113">
        <f t="shared" si="0"/>
        <v>159.90000000000003</v>
      </c>
      <c r="F20" s="85">
        <v>64.6</v>
      </c>
      <c r="G20" s="69">
        <v>1700.9</v>
      </c>
      <c r="H20" s="69">
        <v>215.7</v>
      </c>
      <c r="I20" s="85">
        <v>104.8</v>
      </c>
      <c r="J20" s="85">
        <v>51.3</v>
      </c>
      <c r="K20" s="85">
        <v>0</v>
      </c>
      <c r="L20" s="85">
        <v>0</v>
      </c>
      <c r="M20" s="69">
        <f>N20-B20-C20-F20-G20-H20-I20-J20-K20-L20</f>
        <v>20.100000000000108</v>
      </c>
      <c r="N20" s="69">
        <v>3525.2</v>
      </c>
      <c r="O20" s="69">
        <v>4800</v>
      </c>
      <c r="P20" s="3">
        <f>N20/O20</f>
        <v>0.7344166666666666</v>
      </c>
      <c r="Q20" s="2">
        <v>5554</v>
      </c>
      <c r="R20" s="75">
        <v>2.8</v>
      </c>
      <c r="S20" s="69">
        <v>0</v>
      </c>
      <c r="T20" s="76">
        <v>0</v>
      </c>
      <c r="U20" s="136">
        <v>0</v>
      </c>
      <c r="V20" s="137"/>
      <c r="W20" s="74">
        <f t="shared" si="3"/>
        <v>2.8</v>
      </c>
    </row>
    <row r="21" spans="1:23" ht="12.75">
      <c r="A21" s="10">
        <v>42913</v>
      </c>
      <c r="B21" s="69">
        <v>1467.1</v>
      </c>
      <c r="C21" s="80">
        <v>1488.9</v>
      </c>
      <c r="D21" s="113">
        <v>1143.73</v>
      </c>
      <c r="E21" s="113">
        <f t="shared" si="0"/>
        <v>345.1700000000001</v>
      </c>
      <c r="F21" s="85">
        <v>310</v>
      </c>
      <c r="G21" s="69">
        <v>1509</v>
      </c>
      <c r="H21" s="69">
        <v>-3.5</v>
      </c>
      <c r="I21" s="85">
        <v>116.8</v>
      </c>
      <c r="J21" s="85">
        <v>1.8</v>
      </c>
      <c r="K21" s="85">
        <v>0</v>
      </c>
      <c r="L21" s="85">
        <v>0</v>
      </c>
      <c r="M21" s="69">
        <f t="shared" si="1"/>
        <v>-13.999999999999634</v>
      </c>
      <c r="N21" s="69">
        <v>4876.1</v>
      </c>
      <c r="O21" s="69">
        <v>4800</v>
      </c>
      <c r="P21" s="3">
        <f t="shared" si="2"/>
        <v>1.0158541666666667</v>
      </c>
      <c r="Q21" s="2">
        <v>5554</v>
      </c>
      <c r="R21" s="81">
        <v>0</v>
      </c>
      <c r="S21" s="80">
        <v>0</v>
      </c>
      <c r="T21" s="76">
        <v>0</v>
      </c>
      <c r="U21" s="136">
        <v>0</v>
      </c>
      <c r="V21" s="137"/>
      <c r="W21" s="74">
        <f t="shared" si="3"/>
        <v>0</v>
      </c>
    </row>
    <row r="22" spans="1:23" ht="12.75">
      <c r="A22" s="10">
        <v>42915</v>
      </c>
      <c r="B22" s="69">
        <v>5578.6</v>
      </c>
      <c r="C22" s="80">
        <v>1959.4</v>
      </c>
      <c r="D22" s="113">
        <v>1838.04</v>
      </c>
      <c r="E22" s="113">
        <f t="shared" si="0"/>
        <v>121.36000000000013</v>
      </c>
      <c r="F22" s="85">
        <v>53.6</v>
      </c>
      <c r="G22" s="69">
        <f>2025.5-0.5</f>
        <v>2025</v>
      </c>
      <c r="H22" s="69">
        <v>139</v>
      </c>
      <c r="I22" s="85">
        <v>7.2</v>
      </c>
      <c r="J22" s="85">
        <v>94</v>
      </c>
      <c r="K22" s="85">
        <v>0</v>
      </c>
      <c r="L22" s="85">
        <v>0</v>
      </c>
      <c r="M22" s="69">
        <f t="shared" si="1"/>
        <v>16.049999999999997</v>
      </c>
      <c r="N22" s="69">
        <v>9872.85</v>
      </c>
      <c r="O22" s="69">
        <v>12000</v>
      </c>
      <c r="P22" s="3">
        <f>N22/O22</f>
        <v>0.8227375</v>
      </c>
      <c r="Q22" s="2">
        <v>5554</v>
      </c>
      <c r="R22" s="81">
        <v>0</v>
      </c>
      <c r="S22" s="80">
        <v>0.02</v>
      </c>
      <c r="T22" s="76">
        <v>0</v>
      </c>
      <c r="U22" s="136">
        <v>0</v>
      </c>
      <c r="V22" s="137"/>
      <c r="W22" s="74">
        <f t="shared" si="3"/>
        <v>0.02</v>
      </c>
    </row>
    <row r="23" spans="1:23" ht="13.5" thickBot="1">
      <c r="A23" s="10">
        <v>42916</v>
      </c>
      <c r="B23" s="69">
        <v>9601.8</v>
      </c>
      <c r="C23" s="80">
        <v>1102.9</v>
      </c>
      <c r="D23" s="113">
        <v>741.94</v>
      </c>
      <c r="E23" s="113">
        <f t="shared" si="0"/>
        <v>360.96000000000004</v>
      </c>
      <c r="F23" s="85">
        <v>54.3</v>
      </c>
      <c r="G23" s="69">
        <v>3686.2</v>
      </c>
      <c r="H23" s="69">
        <v>328.7</v>
      </c>
      <c r="I23" s="85">
        <v>189.5</v>
      </c>
      <c r="J23" s="85">
        <v>12.5</v>
      </c>
      <c r="K23" s="85">
        <v>0</v>
      </c>
      <c r="L23" s="85">
        <v>0</v>
      </c>
      <c r="M23" s="69">
        <f t="shared" si="1"/>
        <v>12.450000000001467</v>
      </c>
      <c r="N23" s="69">
        <v>14988.35</v>
      </c>
      <c r="O23" s="69">
        <v>10100</v>
      </c>
      <c r="P23" s="3">
        <f t="shared" si="2"/>
        <v>1.4839950495049505</v>
      </c>
      <c r="Q23" s="2">
        <v>5554</v>
      </c>
      <c r="R23" s="81">
        <v>11.2</v>
      </c>
      <c r="S23" s="80">
        <v>0.04</v>
      </c>
      <c r="T23" s="76">
        <v>212.05</v>
      </c>
      <c r="U23" s="136">
        <v>0</v>
      </c>
      <c r="V23" s="137"/>
      <c r="W23" s="74">
        <f t="shared" si="3"/>
        <v>223.29000000000002</v>
      </c>
    </row>
    <row r="24" spans="1:23" ht="13.5" thickBot="1">
      <c r="A24" s="90" t="s">
        <v>28</v>
      </c>
      <c r="B24" s="92">
        <f aca="true" t="shared" si="4" ref="B24:O24">SUM(B4:B23)</f>
        <v>69910.79</v>
      </c>
      <c r="C24" s="92">
        <f t="shared" si="4"/>
        <v>8964.97</v>
      </c>
      <c r="D24" s="115">
        <f t="shared" si="4"/>
        <v>5106.76</v>
      </c>
      <c r="E24" s="115">
        <f t="shared" si="4"/>
        <v>3858.21</v>
      </c>
      <c r="F24" s="92">
        <f t="shared" si="4"/>
        <v>949.4499999999999</v>
      </c>
      <c r="G24" s="92">
        <f t="shared" si="4"/>
        <v>16755.800000000003</v>
      </c>
      <c r="H24" s="92">
        <f t="shared" si="4"/>
        <v>7837.26</v>
      </c>
      <c r="I24" s="92">
        <f t="shared" si="4"/>
        <v>2114.0299999999997</v>
      </c>
      <c r="J24" s="92">
        <f t="shared" si="4"/>
        <v>797.6299999999999</v>
      </c>
      <c r="K24" s="92">
        <f t="shared" si="4"/>
        <v>546</v>
      </c>
      <c r="L24" s="92">
        <f t="shared" si="4"/>
        <v>2874.5</v>
      </c>
      <c r="M24" s="91">
        <f t="shared" si="4"/>
        <v>330.0700000000012</v>
      </c>
      <c r="N24" s="91">
        <f t="shared" si="4"/>
        <v>111080.50000000001</v>
      </c>
      <c r="O24" s="91">
        <f t="shared" si="4"/>
        <v>109200</v>
      </c>
      <c r="P24" s="93">
        <f>N24/O24</f>
        <v>1.0172206959706962</v>
      </c>
      <c r="Q24" s="2"/>
      <c r="R24" s="82">
        <f>SUM(R4:R23)</f>
        <v>1312.3</v>
      </c>
      <c r="S24" s="82">
        <f>SUM(S4:S23)</f>
        <v>3.56</v>
      </c>
      <c r="T24" s="82">
        <f>SUM(T4:T23)</f>
        <v>1982.7700000000002</v>
      </c>
      <c r="U24" s="125">
        <f>SUM(U4:U23)</f>
        <v>1</v>
      </c>
      <c r="V24" s="126"/>
      <c r="W24" s="82">
        <f>R24+S24+U24+T24+V24</f>
        <v>3299.63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7" t="s">
        <v>33</v>
      </c>
      <c r="S27" s="127"/>
      <c r="T27" s="127"/>
      <c r="U27" s="127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29</v>
      </c>
      <c r="S28" s="128"/>
      <c r="T28" s="128"/>
      <c r="U28" s="128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>
        <v>42917</v>
      </c>
      <c r="S29" s="132">
        <f>'[2]червень'!$D$97</f>
        <v>225.52589</v>
      </c>
      <c r="T29" s="132"/>
      <c r="U29" s="132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/>
      <c r="S30" s="132"/>
      <c r="T30" s="132"/>
      <c r="U30" s="132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33" t="s">
        <v>45</v>
      </c>
      <c r="T32" s="134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5" t="s">
        <v>40</v>
      </c>
      <c r="T33" s="135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7" t="s">
        <v>30</v>
      </c>
      <c r="S37" s="127"/>
      <c r="T37" s="127"/>
      <c r="U37" s="127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4" t="s">
        <v>31</v>
      </c>
      <c r="S38" s="124"/>
      <c r="T38" s="124"/>
      <c r="U38" s="124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9">
        <v>42917</v>
      </c>
      <c r="S39" s="131">
        <v>31922.249009999945</v>
      </c>
      <c r="T39" s="131"/>
      <c r="U39" s="131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/>
      <c r="S40" s="131"/>
      <c r="T40" s="131"/>
      <c r="U40" s="131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16" sqref="K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0" t="s">
        <v>101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2"/>
      <c r="Q1" s="1"/>
      <c r="R1" s="143" t="s">
        <v>103</v>
      </c>
      <c r="S1" s="144"/>
      <c r="T1" s="144"/>
      <c r="U1" s="144"/>
      <c r="V1" s="144"/>
      <c r="W1" s="145"/>
    </row>
    <row r="2" spans="1:23" ht="15" thickBot="1">
      <c r="A2" s="146" t="s">
        <v>104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8"/>
      <c r="Q2" s="1"/>
      <c r="R2" s="149" t="s">
        <v>105</v>
      </c>
      <c r="S2" s="150"/>
      <c r="T2" s="150"/>
      <c r="U2" s="150"/>
      <c r="V2" s="150"/>
      <c r="W2" s="151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102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2" t="s">
        <v>47</v>
      </c>
      <c r="V3" s="153"/>
      <c r="W3" s="25" t="s">
        <v>27</v>
      </c>
    </row>
    <row r="4" spans="1:23" ht="12.75">
      <c r="A4" s="10">
        <v>42919</v>
      </c>
      <c r="B4" s="69">
        <v>1562.9</v>
      </c>
      <c r="C4" s="69">
        <v>333.1</v>
      </c>
      <c r="D4" s="113">
        <v>5.6</v>
      </c>
      <c r="E4" s="113">
        <f aca="true" t="shared" si="0" ref="E4:E24">C4-D4</f>
        <v>327.5</v>
      </c>
      <c r="F4" s="69">
        <v>67.6</v>
      </c>
      <c r="G4" s="69">
        <v>507.7</v>
      </c>
      <c r="H4" s="73">
        <v>614.2</v>
      </c>
      <c r="I4" s="85">
        <v>91.1</v>
      </c>
      <c r="J4" s="85">
        <v>25.8</v>
      </c>
      <c r="K4" s="85">
        <v>0</v>
      </c>
      <c r="L4" s="69">
        <v>2539</v>
      </c>
      <c r="M4" s="69">
        <f aca="true" t="shared" si="1" ref="M4:M24">N4-B4-C4-F4-G4-H4-I4-J4-K4-L4</f>
        <v>24.299999999999727</v>
      </c>
      <c r="N4" s="69">
        <v>5765.7</v>
      </c>
      <c r="O4" s="69">
        <v>5750</v>
      </c>
      <c r="P4" s="3">
        <f aca="true" t="shared" si="2" ref="P4:P24">N4/O4</f>
        <v>1.0027304347826087</v>
      </c>
      <c r="Q4" s="2">
        <f>AVERAGE(N4:N24)</f>
        <v>5833.852857142858</v>
      </c>
      <c r="R4" s="71">
        <v>0</v>
      </c>
      <c r="S4" s="72">
        <v>0</v>
      </c>
      <c r="T4" s="73">
        <v>0</v>
      </c>
      <c r="U4" s="154">
        <v>0</v>
      </c>
      <c r="V4" s="155"/>
      <c r="W4" s="74">
        <f>R4+S4+U4+T4+V4</f>
        <v>0</v>
      </c>
    </row>
    <row r="5" spans="1:23" ht="12.75">
      <c r="A5" s="10">
        <v>42920</v>
      </c>
      <c r="B5" s="69">
        <v>1344.1</v>
      </c>
      <c r="C5" s="69">
        <v>8.7</v>
      </c>
      <c r="D5" s="113">
        <v>8.7</v>
      </c>
      <c r="E5" s="113">
        <f t="shared" si="0"/>
        <v>0</v>
      </c>
      <c r="F5" s="69">
        <v>109.6</v>
      </c>
      <c r="G5" s="69">
        <v>363.1</v>
      </c>
      <c r="H5" s="86">
        <v>901.1</v>
      </c>
      <c r="I5" s="85">
        <v>169.45</v>
      </c>
      <c r="J5" s="85">
        <v>39.25</v>
      </c>
      <c r="K5" s="85">
        <v>0</v>
      </c>
      <c r="L5" s="69">
        <v>0</v>
      </c>
      <c r="M5" s="69">
        <f t="shared" si="1"/>
        <v>24.799999999999898</v>
      </c>
      <c r="N5" s="69">
        <v>2960.1</v>
      </c>
      <c r="O5" s="69">
        <v>2800</v>
      </c>
      <c r="P5" s="3">
        <f t="shared" si="2"/>
        <v>1.0571785714285713</v>
      </c>
      <c r="Q5" s="2">
        <v>5802.6</v>
      </c>
      <c r="R5" s="75">
        <v>0</v>
      </c>
      <c r="S5" s="69">
        <v>0</v>
      </c>
      <c r="T5" s="76">
        <v>104.84</v>
      </c>
      <c r="U5" s="136">
        <v>0</v>
      </c>
      <c r="V5" s="137"/>
      <c r="W5" s="74">
        <f aca="true" t="shared" si="3" ref="W5:W24">R5+S5+U5+T5+V5</f>
        <v>104.84</v>
      </c>
    </row>
    <row r="6" spans="1:23" ht="12.75">
      <c r="A6" s="10">
        <v>42921</v>
      </c>
      <c r="B6" s="69">
        <v>3621.6</v>
      </c>
      <c r="C6" s="69">
        <v>1.3</v>
      </c>
      <c r="D6" s="113">
        <v>1.3</v>
      </c>
      <c r="E6" s="113">
        <f t="shared" si="0"/>
        <v>0</v>
      </c>
      <c r="F6" s="78">
        <v>126.1</v>
      </c>
      <c r="G6" s="69">
        <v>255.4</v>
      </c>
      <c r="H6" s="87">
        <v>633.5</v>
      </c>
      <c r="I6" s="85">
        <v>89</v>
      </c>
      <c r="J6" s="85">
        <v>27.2</v>
      </c>
      <c r="K6" s="85">
        <v>511.6</v>
      </c>
      <c r="L6" s="85">
        <v>0</v>
      </c>
      <c r="M6" s="69">
        <f t="shared" si="1"/>
        <v>11.199999999999704</v>
      </c>
      <c r="N6" s="69">
        <v>5276.9</v>
      </c>
      <c r="O6" s="69">
        <v>4000</v>
      </c>
      <c r="P6" s="3">
        <f t="shared" si="2"/>
        <v>1.3192249999999999</v>
      </c>
      <c r="Q6" s="2">
        <v>5802.6</v>
      </c>
      <c r="R6" s="77">
        <v>0</v>
      </c>
      <c r="S6" s="78">
        <v>0</v>
      </c>
      <c r="T6" s="79">
        <v>3.9</v>
      </c>
      <c r="U6" s="138">
        <v>0</v>
      </c>
      <c r="V6" s="139"/>
      <c r="W6" s="74">
        <f t="shared" si="3"/>
        <v>3.9</v>
      </c>
    </row>
    <row r="7" spans="1:23" ht="12.75">
      <c r="A7" s="10">
        <v>42922</v>
      </c>
      <c r="B7" s="84">
        <v>4354.45</v>
      </c>
      <c r="C7" s="69">
        <v>10.25</v>
      </c>
      <c r="D7" s="113">
        <v>10.25</v>
      </c>
      <c r="E7" s="113">
        <f t="shared" si="0"/>
        <v>0</v>
      </c>
      <c r="F7" s="69">
        <v>20.3</v>
      </c>
      <c r="G7" s="69">
        <v>168.7</v>
      </c>
      <c r="H7" s="86">
        <v>789.7</v>
      </c>
      <c r="I7" s="85">
        <v>115</v>
      </c>
      <c r="J7" s="85">
        <v>17.9</v>
      </c>
      <c r="K7" s="85">
        <v>0</v>
      </c>
      <c r="L7" s="85">
        <v>0</v>
      </c>
      <c r="M7" s="69">
        <f t="shared" si="1"/>
        <v>41.8000000000005</v>
      </c>
      <c r="N7" s="69">
        <v>5518.1</v>
      </c>
      <c r="O7" s="69">
        <v>6000</v>
      </c>
      <c r="P7" s="3">
        <f t="shared" si="2"/>
        <v>0.9196833333333334</v>
      </c>
      <c r="Q7" s="2">
        <v>5802.6</v>
      </c>
      <c r="R7" s="77">
        <v>0</v>
      </c>
      <c r="S7" s="78">
        <v>0</v>
      </c>
      <c r="T7" s="79">
        <v>0</v>
      </c>
      <c r="U7" s="138">
        <v>1</v>
      </c>
      <c r="V7" s="139"/>
      <c r="W7" s="74">
        <f t="shared" si="3"/>
        <v>1</v>
      </c>
    </row>
    <row r="8" spans="1:23" ht="12.75">
      <c r="A8" s="10">
        <v>42923</v>
      </c>
      <c r="B8" s="69">
        <v>8663.2</v>
      </c>
      <c r="C8" s="80">
        <v>94</v>
      </c>
      <c r="D8" s="113">
        <v>94</v>
      </c>
      <c r="E8" s="113">
        <f t="shared" si="0"/>
        <v>0</v>
      </c>
      <c r="F8" s="85">
        <v>83.7</v>
      </c>
      <c r="G8" s="85">
        <v>196.7</v>
      </c>
      <c r="H8" s="69">
        <v>963.1</v>
      </c>
      <c r="I8" s="85">
        <v>95.5</v>
      </c>
      <c r="J8" s="85">
        <v>92.4</v>
      </c>
      <c r="K8" s="85">
        <v>0</v>
      </c>
      <c r="L8" s="85">
        <v>0</v>
      </c>
      <c r="M8" s="69">
        <f t="shared" si="1"/>
        <v>13.749999999999517</v>
      </c>
      <c r="N8" s="69">
        <v>10202.35</v>
      </c>
      <c r="O8" s="69">
        <v>9900</v>
      </c>
      <c r="P8" s="3">
        <f t="shared" si="2"/>
        <v>1.030540404040404</v>
      </c>
      <c r="Q8" s="2">
        <v>5802.6</v>
      </c>
      <c r="R8" s="77">
        <v>0</v>
      </c>
      <c r="S8" s="78">
        <v>0</v>
      </c>
      <c r="T8" s="76">
        <v>0</v>
      </c>
      <c r="U8" s="136">
        <v>0</v>
      </c>
      <c r="V8" s="137"/>
      <c r="W8" s="74">
        <f t="shared" si="3"/>
        <v>0</v>
      </c>
    </row>
    <row r="9" spans="1:23" ht="12.75">
      <c r="A9" s="10">
        <v>42926</v>
      </c>
      <c r="B9" s="69">
        <v>1510.7</v>
      </c>
      <c r="C9" s="80">
        <v>9.24</v>
      </c>
      <c r="D9" s="113">
        <v>9.24</v>
      </c>
      <c r="E9" s="113">
        <f>C9-D9</f>
        <v>0</v>
      </c>
      <c r="F9" s="85">
        <v>84</v>
      </c>
      <c r="G9" s="89">
        <v>307.9</v>
      </c>
      <c r="H9" s="69">
        <v>1162.9</v>
      </c>
      <c r="I9" s="85">
        <v>84.7</v>
      </c>
      <c r="J9" s="85">
        <v>53.1</v>
      </c>
      <c r="K9" s="85">
        <v>0</v>
      </c>
      <c r="L9" s="85">
        <v>0</v>
      </c>
      <c r="M9" s="69">
        <f>N9-B9-C9-F9-G9-H9-I9-J9-K9-L9</f>
        <v>16.159999999999577</v>
      </c>
      <c r="N9" s="69">
        <v>3228.7</v>
      </c>
      <c r="O9" s="69">
        <v>3500</v>
      </c>
      <c r="P9" s="3">
        <f t="shared" si="2"/>
        <v>0.9224857142857142</v>
      </c>
      <c r="Q9" s="2">
        <v>5802.6</v>
      </c>
      <c r="R9" s="77">
        <v>106.04</v>
      </c>
      <c r="S9" s="78">
        <v>0</v>
      </c>
      <c r="T9" s="76">
        <v>0</v>
      </c>
      <c r="U9" s="136">
        <v>0</v>
      </c>
      <c r="V9" s="137"/>
      <c r="W9" s="74">
        <f t="shared" si="3"/>
        <v>106.04</v>
      </c>
    </row>
    <row r="10" spans="1:23" ht="12.75">
      <c r="A10" s="10">
        <v>42927</v>
      </c>
      <c r="B10" s="69">
        <v>1207.9</v>
      </c>
      <c r="C10" s="80">
        <v>43.2</v>
      </c>
      <c r="D10" s="113">
        <v>43.23</v>
      </c>
      <c r="E10" s="113">
        <f>C10-D10</f>
        <v>-0.02999999999999403</v>
      </c>
      <c r="F10" s="85">
        <v>48.85</v>
      </c>
      <c r="G10" s="85">
        <v>181.2</v>
      </c>
      <c r="H10" s="69">
        <v>1010.03</v>
      </c>
      <c r="I10" s="85">
        <v>120</v>
      </c>
      <c r="J10" s="85">
        <v>47.4</v>
      </c>
      <c r="K10" s="85">
        <v>0</v>
      </c>
      <c r="L10" s="85">
        <v>0</v>
      </c>
      <c r="M10" s="69">
        <f t="shared" si="1"/>
        <v>22.919999999999938</v>
      </c>
      <c r="N10" s="69">
        <v>2681.5</v>
      </c>
      <c r="O10" s="78">
        <v>3400</v>
      </c>
      <c r="P10" s="3">
        <f t="shared" si="2"/>
        <v>0.7886764705882353</v>
      </c>
      <c r="Q10" s="2">
        <v>5802.6</v>
      </c>
      <c r="R10" s="77">
        <v>0</v>
      </c>
      <c r="S10" s="78">
        <v>0</v>
      </c>
      <c r="T10" s="76">
        <v>1.1</v>
      </c>
      <c r="U10" s="136">
        <v>0</v>
      </c>
      <c r="V10" s="137"/>
      <c r="W10" s="74">
        <f>R10+S10+U10+T10+V10</f>
        <v>1.1</v>
      </c>
    </row>
    <row r="11" spans="1:23" ht="12.75">
      <c r="A11" s="10">
        <v>42928</v>
      </c>
      <c r="B11" s="69">
        <v>881.3</v>
      </c>
      <c r="C11" s="80">
        <v>40.64</v>
      </c>
      <c r="D11" s="113">
        <v>40.64</v>
      </c>
      <c r="E11" s="113">
        <f t="shared" si="0"/>
        <v>0</v>
      </c>
      <c r="F11" s="85">
        <v>123.2</v>
      </c>
      <c r="G11" s="85">
        <v>255.5</v>
      </c>
      <c r="H11" s="69">
        <v>927.05</v>
      </c>
      <c r="I11" s="85">
        <v>72.4</v>
      </c>
      <c r="J11" s="85">
        <v>15</v>
      </c>
      <c r="K11" s="85">
        <v>0</v>
      </c>
      <c r="L11" s="85">
        <v>0</v>
      </c>
      <c r="M11" s="69">
        <f>N11-B11-C11-F11-G11-H11-I11-J11-K11-L11</f>
        <v>17.21000000000012</v>
      </c>
      <c r="N11" s="69">
        <v>2332.3</v>
      </c>
      <c r="O11" s="69">
        <v>3300</v>
      </c>
      <c r="P11" s="3">
        <f t="shared" si="2"/>
        <v>0.7067575757575758</v>
      </c>
      <c r="Q11" s="2">
        <v>5802.6</v>
      </c>
      <c r="R11" s="75">
        <v>0</v>
      </c>
      <c r="S11" s="69">
        <v>0</v>
      </c>
      <c r="T11" s="76">
        <v>205.2</v>
      </c>
      <c r="U11" s="136">
        <v>0</v>
      </c>
      <c r="V11" s="137"/>
      <c r="W11" s="74">
        <f t="shared" si="3"/>
        <v>205.2</v>
      </c>
    </row>
    <row r="12" spans="1:23" ht="12.75">
      <c r="A12" s="10">
        <v>42929</v>
      </c>
      <c r="B12" s="84">
        <v>2429.3</v>
      </c>
      <c r="C12" s="80">
        <v>29</v>
      </c>
      <c r="D12" s="113">
        <v>29</v>
      </c>
      <c r="E12" s="113">
        <f t="shared" si="0"/>
        <v>0</v>
      </c>
      <c r="F12" s="85">
        <v>104.6</v>
      </c>
      <c r="G12" s="85">
        <v>368</v>
      </c>
      <c r="H12" s="69">
        <v>862.54</v>
      </c>
      <c r="I12" s="85">
        <v>190.5</v>
      </c>
      <c r="J12" s="85">
        <v>41.7</v>
      </c>
      <c r="K12" s="85">
        <v>0</v>
      </c>
      <c r="L12" s="85">
        <v>0</v>
      </c>
      <c r="M12" s="69">
        <f>N12-B12-C12-F12-G12-H12-I12-J12-K12-L12</f>
        <v>18.609999999999943</v>
      </c>
      <c r="N12" s="69">
        <v>4044.25</v>
      </c>
      <c r="O12" s="69">
        <v>3800</v>
      </c>
      <c r="P12" s="3">
        <f t="shared" si="2"/>
        <v>1.0642763157894737</v>
      </c>
      <c r="Q12" s="2">
        <v>5802.6</v>
      </c>
      <c r="R12" s="75">
        <v>0</v>
      </c>
      <c r="S12" s="69">
        <v>0</v>
      </c>
      <c r="T12" s="76">
        <v>0</v>
      </c>
      <c r="U12" s="136">
        <v>0</v>
      </c>
      <c r="V12" s="137"/>
      <c r="W12" s="74">
        <f t="shared" si="3"/>
        <v>0</v>
      </c>
    </row>
    <row r="13" spans="1:23" ht="12.75">
      <c r="A13" s="10">
        <v>42930</v>
      </c>
      <c r="B13" s="69">
        <v>6663.6</v>
      </c>
      <c r="C13" s="80">
        <v>11.3</v>
      </c>
      <c r="D13" s="113">
        <v>11.3</v>
      </c>
      <c r="E13" s="113">
        <f t="shared" si="0"/>
        <v>0</v>
      </c>
      <c r="F13" s="85">
        <v>85.3</v>
      </c>
      <c r="G13" s="85">
        <v>319.4</v>
      </c>
      <c r="H13" s="69">
        <v>1085.94</v>
      </c>
      <c r="I13" s="85">
        <v>105.3</v>
      </c>
      <c r="J13" s="85">
        <v>11.7</v>
      </c>
      <c r="K13" s="85">
        <v>0</v>
      </c>
      <c r="L13" s="85">
        <v>0</v>
      </c>
      <c r="M13" s="69">
        <f>N13-B13-C13-F13-G13-H13-I13-J13-K13-L13</f>
        <v>16.900000000000095</v>
      </c>
      <c r="N13" s="69">
        <v>8299.44</v>
      </c>
      <c r="O13" s="69">
        <v>9600</v>
      </c>
      <c r="P13" s="3">
        <f t="shared" si="2"/>
        <v>0.8645250000000001</v>
      </c>
      <c r="Q13" s="2">
        <v>5802.6</v>
      </c>
      <c r="R13" s="75">
        <v>0</v>
      </c>
      <c r="S13" s="69">
        <v>0</v>
      </c>
      <c r="T13" s="76">
        <v>0</v>
      </c>
      <c r="U13" s="136">
        <v>0</v>
      </c>
      <c r="V13" s="137"/>
      <c r="W13" s="74">
        <f t="shared" si="3"/>
        <v>0</v>
      </c>
    </row>
    <row r="14" spans="1:23" ht="12.75">
      <c r="A14" s="10">
        <v>42933</v>
      </c>
      <c r="B14" s="69">
        <v>2255.4</v>
      </c>
      <c r="C14" s="80">
        <v>58.8</v>
      </c>
      <c r="D14" s="113">
        <v>58.8</v>
      </c>
      <c r="E14" s="113">
        <f t="shared" si="0"/>
        <v>0</v>
      </c>
      <c r="F14" s="85">
        <v>106.8</v>
      </c>
      <c r="G14" s="85">
        <v>392.3</v>
      </c>
      <c r="H14" s="69">
        <v>1936.8</v>
      </c>
      <c r="I14" s="85">
        <v>133.9</v>
      </c>
      <c r="J14" s="85">
        <v>9.8</v>
      </c>
      <c r="K14" s="85">
        <v>0</v>
      </c>
      <c r="L14" s="85">
        <v>0</v>
      </c>
      <c r="M14" s="69">
        <f t="shared" si="1"/>
        <v>16.539999999999548</v>
      </c>
      <c r="N14" s="69">
        <v>4910.34</v>
      </c>
      <c r="O14" s="69">
        <v>5000</v>
      </c>
      <c r="P14" s="3">
        <f t="shared" si="2"/>
        <v>0.982068</v>
      </c>
      <c r="Q14" s="2">
        <v>5802.6</v>
      </c>
      <c r="R14" s="75">
        <v>0</v>
      </c>
      <c r="S14" s="69">
        <v>0</v>
      </c>
      <c r="T14" s="80">
        <v>0</v>
      </c>
      <c r="U14" s="136">
        <v>0</v>
      </c>
      <c r="V14" s="137"/>
      <c r="W14" s="74">
        <f t="shared" si="3"/>
        <v>0</v>
      </c>
    </row>
    <row r="15" spans="1:23" ht="12.75">
      <c r="A15" s="10">
        <v>42934</v>
      </c>
      <c r="B15" s="69">
        <v>1329.8</v>
      </c>
      <c r="C15" s="69">
        <v>379.4</v>
      </c>
      <c r="D15" s="113">
        <v>379.35</v>
      </c>
      <c r="E15" s="113">
        <f t="shared" si="0"/>
        <v>0.049999999999954525</v>
      </c>
      <c r="F15" s="88">
        <v>169</v>
      </c>
      <c r="G15" s="88">
        <v>494</v>
      </c>
      <c r="H15" s="89">
        <v>1539.4</v>
      </c>
      <c r="I15" s="88">
        <v>127.2</v>
      </c>
      <c r="J15" s="88">
        <v>7.2</v>
      </c>
      <c r="K15" s="88">
        <v>7.2</v>
      </c>
      <c r="L15" s="88">
        <v>0</v>
      </c>
      <c r="M15" s="69">
        <f t="shared" si="1"/>
        <v>6.830000000000289</v>
      </c>
      <c r="N15" s="69">
        <v>4060.03</v>
      </c>
      <c r="O15" s="78">
        <v>4800</v>
      </c>
      <c r="P15" s="3">
        <f>N15/O15</f>
        <v>0.8458395833333334</v>
      </c>
      <c r="Q15" s="2">
        <v>5802.6</v>
      </c>
      <c r="R15" s="75">
        <v>0</v>
      </c>
      <c r="S15" s="69">
        <v>0</v>
      </c>
      <c r="T15" s="80">
        <v>0</v>
      </c>
      <c r="U15" s="136">
        <v>0</v>
      </c>
      <c r="V15" s="137"/>
      <c r="W15" s="74">
        <f t="shared" si="3"/>
        <v>0</v>
      </c>
    </row>
    <row r="16" spans="1:23" ht="12.75">
      <c r="A16" s="10">
        <v>42935</v>
      </c>
      <c r="B16" s="69">
        <v>2715.9</v>
      </c>
      <c r="C16" s="80">
        <v>1574.8</v>
      </c>
      <c r="D16" s="113">
        <v>1574.8</v>
      </c>
      <c r="E16" s="113">
        <f t="shared" si="0"/>
        <v>0</v>
      </c>
      <c r="F16" s="85">
        <v>138.7</v>
      </c>
      <c r="G16" s="85">
        <v>403.8</v>
      </c>
      <c r="H16" s="69">
        <v>1838.2</v>
      </c>
      <c r="I16" s="85">
        <v>108.9</v>
      </c>
      <c r="J16" s="85">
        <v>7.45</v>
      </c>
      <c r="K16" s="85">
        <v>0</v>
      </c>
      <c r="L16" s="85">
        <v>0</v>
      </c>
      <c r="M16" s="69">
        <f t="shared" si="1"/>
        <v>17.450000000000177</v>
      </c>
      <c r="N16" s="69">
        <v>6805.2</v>
      </c>
      <c r="O16" s="78">
        <v>4500</v>
      </c>
      <c r="P16" s="3">
        <f t="shared" si="2"/>
        <v>1.5122666666666666</v>
      </c>
      <c r="Q16" s="2">
        <v>5802.6</v>
      </c>
      <c r="R16" s="75">
        <v>0</v>
      </c>
      <c r="S16" s="69">
        <v>0</v>
      </c>
      <c r="T16" s="80">
        <v>17.54</v>
      </c>
      <c r="U16" s="136">
        <v>0</v>
      </c>
      <c r="V16" s="137"/>
      <c r="W16" s="74">
        <f t="shared" si="3"/>
        <v>17.54</v>
      </c>
    </row>
    <row r="17" spans="1:23" ht="12.75">
      <c r="A17" s="10">
        <v>42936</v>
      </c>
      <c r="B17" s="69">
        <v>4217.1</v>
      </c>
      <c r="C17" s="80">
        <v>46.5</v>
      </c>
      <c r="D17" s="113">
        <v>46.5</v>
      </c>
      <c r="E17" s="113">
        <f t="shared" si="0"/>
        <v>0</v>
      </c>
      <c r="F17" s="85">
        <v>317.3</v>
      </c>
      <c r="G17" s="85">
        <v>900.6</v>
      </c>
      <c r="H17" s="69">
        <v>819.2</v>
      </c>
      <c r="I17" s="85">
        <v>113.1</v>
      </c>
      <c r="J17" s="85">
        <v>1.95</v>
      </c>
      <c r="K17" s="85">
        <v>0</v>
      </c>
      <c r="L17" s="85">
        <v>0</v>
      </c>
      <c r="M17" s="69">
        <f t="shared" si="1"/>
        <v>-4.350000000000745</v>
      </c>
      <c r="N17" s="69">
        <v>6411.4</v>
      </c>
      <c r="O17" s="69">
        <v>4400</v>
      </c>
      <c r="P17" s="3">
        <f t="shared" si="2"/>
        <v>1.4571363636363635</v>
      </c>
      <c r="Q17" s="2">
        <v>5802.6</v>
      </c>
      <c r="R17" s="75">
        <v>288.4</v>
      </c>
      <c r="S17" s="69">
        <v>0</v>
      </c>
      <c r="T17" s="80">
        <v>0</v>
      </c>
      <c r="U17" s="136">
        <v>0</v>
      </c>
      <c r="V17" s="137"/>
      <c r="W17" s="74">
        <f t="shared" si="3"/>
        <v>288.4</v>
      </c>
    </row>
    <row r="18" spans="1:23" ht="12.75">
      <c r="A18" s="10">
        <v>42937</v>
      </c>
      <c r="B18" s="69">
        <v>5317.3</v>
      </c>
      <c r="C18" s="80">
        <v>109.9</v>
      </c>
      <c r="D18" s="113">
        <v>109.9</v>
      </c>
      <c r="E18" s="113">
        <f t="shared" si="0"/>
        <v>0</v>
      </c>
      <c r="F18" s="85">
        <v>256.5</v>
      </c>
      <c r="G18" s="85">
        <v>589.8</v>
      </c>
      <c r="H18" s="69">
        <v>700.6</v>
      </c>
      <c r="I18" s="85">
        <v>12</v>
      </c>
      <c r="J18" s="85">
        <v>7.1</v>
      </c>
      <c r="K18" s="85">
        <v>0</v>
      </c>
      <c r="L18" s="85">
        <v>0</v>
      </c>
      <c r="M18" s="69">
        <f t="shared" si="1"/>
        <v>20.09999999999993</v>
      </c>
      <c r="N18" s="69">
        <v>7013.3</v>
      </c>
      <c r="O18" s="69">
        <v>5900</v>
      </c>
      <c r="P18" s="3">
        <f>N18/O18</f>
        <v>1.1886949152542374</v>
      </c>
      <c r="Q18" s="2">
        <v>5802.6</v>
      </c>
      <c r="R18" s="75">
        <v>3883.4</v>
      </c>
      <c r="S18" s="69">
        <v>0</v>
      </c>
      <c r="T18" s="76">
        <v>0</v>
      </c>
      <c r="U18" s="136">
        <v>0</v>
      </c>
      <c r="V18" s="137"/>
      <c r="W18" s="74">
        <f t="shared" si="3"/>
        <v>3883.4</v>
      </c>
    </row>
    <row r="19" spans="1:23" ht="12.75">
      <c r="A19" s="10">
        <v>42940</v>
      </c>
      <c r="B19" s="69">
        <v>2320.8</v>
      </c>
      <c r="C19" s="80">
        <v>228.25</v>
      </c>
      <c r="D19" s="113">
        <v>228.25</v>
      </c>
      <c r="E19" s="113">
        <f t="shared" si="0"/>
        <v>0</v>
      </c>
      <c r="F19" s="85">
        <v>317.3</v>
      </c>
      <c r="G19" s="85">
        <v>578.95</v>
      </c>
      <c r="H19" s="69">
        <v>1033.7</v>
      </c>
      <c r="I19" s="85">
        <v>178.9</v>
      </c>
      <c r="J19" s="85">
        <v>0</v>
      </c>
      <c r="K19" s="85">
        <v>0</v>
      </c>
      <c r="L19" s="85">
        <v>0</v>
      </c>
      <c r="M19" s="69">
        <f>N19-B19-C19-F19-G19-H19-I19-J19-K19-L19</f>
        <v>12.899999999999949</v>
      </c>
      <c r="N19" s="69">
        <v>4670.8</v>
      </c>
      <c r="O19" s="69">
        <v>4800</v>
      </c>
      <c r="P19" s="3">
        <f>N19/O19</f>
        <v>0.9730833333333334</v>
      </c>
      <c r="Q19" s="2">
        <v>5802.6</v>
      </c>
      <c r="R19" s="75">
        <v>0</v>
      </c>
      <c r="S19" s="69">
        <v>0</v>
      </c>
      <c r="T19" s="76">
        <v>0</v>
      </c>
      <c r="U19" s="136">
        <v>0</v>
      </c>
      <c r="V19" s="137"/>
      <c r="W19" s="74">
        <f t="shared" si="3"/>
        <v>0</v>
      </c>
    </row>
    <row r="20" spans="1:23" ht="12.75">
      <c r="A20" s="10">
        <v>42941</v>
      </c>
      <c r="B20" s="69">
        <v>2062.2</v>
      </c>
      <c r="C20" s="80">
        <v>212.9</v>
      </c>
      <c r="D20" s="113">
        <v>212.9</v>
      </c>
      <c r="E20" s="113">
        <f t="shared" si="0"/>
        <v>0</v>
      </c>
      <c r="F20" s="85">
        <v>319.2</v>
      </c>
      <c r="G20" s="69">
        <v>1577.9</v>
      </c>
      <c r="H20" s="69">
        <v>1079.7</v>
      </c>
      <c r="I20" s="85">
        <v>115.6</v>
      </c>
      <c r="J20" s="85">
        <v>6.9</v>
      </c>
      <c r="K20" s="85">
        <v>0</v>
      </c>
      <c r="L20" s="85">
        <v>0</v>
      </c>
      <c r="M20" s="69">
        <f>N20-B20-C20-F20-G20-H20-I20-J20-K20-L20</f>
        <v>31.200000000000507</v>
      </c>
      <c r="N20" s="69">
        <v>5405.6</v>
      </c>
      <c r="O20" s="69">
        <v>4800</v>
      </c>
      <c r="P20" s="3">
        <f>N20/O20</f>
        <v>1.1261666666666668</v>
      </c>
      <c r="Q20" s="2">
        <v>5802.6</v>
      </c>
      <c r="R20" s="75">
        <v>11.3</v>
      </c>
      <c r="S20" s="69">
        <v>0</v>
      </c>
      <c r="T20" s="76">
        <v>0</v>
      </c>
      <c r="U20" s="136">
        <v>0</v>
      </c>
      <c r="V20" s="137"/>
      <c r="W20" s="74">
        <f t="shared" si="3"/>
        <v>11.3</v>
      </c>
    </row>
    <row r="21" spans="1:23" ht="12.75">
      <c r="A21" s="10">
        <v>42942</v>
      </c>
      <c r="B21" s="69">
        <v>1286.9</v>
      </c>
      <c r="C21" s="80">
        <v>1171.7</v>
      </c>
      <c r="D21" s="113">
        <v>1171.7</v>
      </c>
      <c r="E21" s="113">
        <f t="shared" si="0"/>
        <v>0</v>
      </c>
      <c r="F21" s="85">
        <v>703.2</v>
      </c>
      <c r="G21" s="69">
        <v>2485.5</v>
      </c>
      <c r="H21" s="69">
        <v>873.6</v>
      </c>
      <c r="I21" s="85">
        <v>71.3</v>
      </c>
      <c r="J21" s="85">
        <v>166.4</v>
      </c>
      <c r="K21" s="85">
        <v>0</v>
      </c>
      <c r="L21" s="85">
        <v>0</v>
      </c>
      <c r="M21" s="69">
        <f t="shared" si="1"/>
        <v>14.800000000000324</v>
      </c>
      <c r="N21" s="69">
        <v>6773.4</v>
      </c>
      <c r="O21" s="69">
        <v>4800</v>
      </c>
      <c r="P21" s="3">
        <f t="shared" si="2"/>
        <v>1.411125</v>
      </c>
      <c r="Q21" s="2">
        <v>5802.6</v>
      </c>
      <c r="R21" s="81">
        <v>0</v>
      </c>
      <c r="S21" s="80">
        <v>0</v>
      </c>
      <c r="T21" s="76">
        <v>0</v>
      </c>
      <c r="U21" s="136">
        <v>0</v>
      </c>
      <c r="V21" s="137"/>
      <c r="W21" s="74">
        <f t="shared" si="3"/>
        <v>0</v>
      </c>
    </row>
    <row r="22" spans="1:23" ht="12.75">
      <c r="A22" s="10">
        <v>42943</v>
      </c>
      <c r="B22" s="69">
        <v>2068.9</v>
      </c>
      <c r="C22" s="80">
        <v>493.9</v>
      </c>
      <c r="D22" s="113">
        <v>493.9</v>
      </c>
      <c r="E22" s="113">
        <f t="shared" si="0"/>
        <v>0</v>
      </c>
      <c r="F22" s="85">
        <v>861</v>
      </c>
      <c r="G22" s="69">
        <v>1723</v>
      </c>
      <c r="H22" s="69">
        <v>829.1</v>
      </c>
      <c r="I22" s="85">
        <v>103.9</v>
      </c>
      <c r="J22" s="85">
        <v>1.9</v>
      </c>
      <c r="K22" s="85">
        <v>0</v>
      </c>
      <c r="L22" s="85">
        <v>0</v>
      </c>
      <c r="M22" s="69">
        <f t="shared" si="1"/>
        <v>24.599999999999973</v>
      </c>
      <c r="N22" s="69">
        <v>6106.3</v>
      </c>
      <c r="O22" s="69">
        <v>5300</v>
      </c>
      <c r="P22" s="3">
        <f>N22/O22</f>
        <v>1.1521320754716982</v>
      </c>
      <c r="Q22" s="2">
        <v>5802.6</v>
      </c>
      <c r="R22" s="81">
        <v>0</v>
      </c>
      <c r="S22" s="80">
        <v>0</v>
      </c>
      <c r="T22" s="76">
        <v>0</v>
      </c>
      <c r="U22" s="136">
        <v>0</v>
      </c>
      <c r="V22" s="137"/>
      <c r="W22" s="74">
        <f t="shared" si="3"/>
        <v>0</v>
      </c>
    </row>
    <row r="23" spans="1:23" ht="12.75">
      <c r="A23" s="10">
        <v>42944</v>
      </c>
      <c r="B23" s="69">
        <v>7562.9</v>
      </c>
      <c r="C23" s="80">
        <v>566.5</v>
      </c>
      <c r="D23" s="113">
        <v>566.5</v>
      </c>
      <c r="E23" s="113">
        <f t="shared" si="0"/>
        <v>0</v>
      </c>
      <c r="F23" s="85">
        <v>622.6</v>
      </c>
      <c r="G23" s="69">
        <v>3778.8</v>
      </c>
      <c r="H23" s="69">
        <v>871.2</v>
      </c>
      <c r="I23" s="85">
        <v>160</v>
      </c>
      <c r="J23" s="85">
        <v>12.9</v>
      </c>
      <c r="K23" s="85">
        <v>0</v>
      </c>
      <c r="L23" s="85">
        <v>0</v>
      </c>
      <c r="M23" s="69">
        <f t="shared" si="1"/>
        <v>11.200000000000136</v>
      </c>
      <c r="N23" s="69">
        <v>13586.1</v>
      </c>
      <c r="O23" s="69">
        <v>11500</v>
      </c>
      <c r="P23" s="3">
        <f>N23/O23</f>
        <v>1.1814</v>
      </c>
      <c r="Q23" s="2">
        <v>5802.6</v>
      </c>
      <c r="R23" s="81">
        <v>0</v>
      </c>
      <c r="S23" s="80">
        <v>0</v>
      </c>
      <c r="T23" s="76">
        <v>70.5</v>
      </c>
      <c r="U23" s="116">
        <v>0</v>
      </c>
      <c r="V23" s="117"/>
      <c r="W23" s="74">
        <f t="shared" si="3"/>
        <v>70.5</v>
      </c>
    </row>
    <row r="24" spans="1:23" ht="13.5" thickBot="1">
      <c r="A24" s="10">
        <v>42947</v>
      </c>
      <c r="B24" s="69">
        <v>4724.4</v>
      </c>
      <c r="C24" s="80">
        <v>16.9</v>
      </c>
      <c r="D24" s="113">
        <v>16.9</v>
      </c>
      <c r="E24" s="113">
        <f t="shared" si="0"/>
        <v>0</v>
      </c>
      <c r="F24" s="85">
        <v>111.9</v>
      </c>
      <c r="G24" s="69">
        <v>567.8</v>
      </c>
      <c r="H24" s="69">
        <v>845</v>
      </c>
      <c r="I24" s="85">
        <v>161.8</v>
      </c>
      <c r="J24" s="85">
        <v>10.3</v>
      </c>
      <c r="K24" s="85">
        <v>0</v>
      </c>
      <c r="L24" s="85">
        <v>0</v>
      </c>
      <c r="M24" s="69">
        <f t="shared" si="1"/>
        <v>21.00000000000058</v>
      </c>
      <c r="N24" s="69">
        <v>6459.1</v>
      </c>
      <c r="O24" s="69">
        <f>12893.4-587</f>
        <v>12306.4</v>
      </c>
      <c r="P24" s="3">
        <f t="shared" si="2"/>
        <v>0.5248569849834233</v>
      </c>
      <c r="Q24" s="2">
        <v>5802.6</v>
      </c>
      <c r="R24" s="81">
        <v>0</v>
      </c>
      <c r="S24" s="80">
        <v>0</v>
      </c>
      <c r="T24" s="76">
        <v>0</v>
      </c>
      <c r="U24" s="136">
        <v>0</v>
      </c>
      <c r="V24" s="137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O25">SUM(B4:B24)</f>
        <v>68100.65000000001</v>
      </c>
      <c r="C25" s="92">
        <f t="shared" si="4"/>
        <v>5440.28</v>
      </c>
      <c r="D25" s="115">
        <f t="shared" si="4"/>
        <v>5112.759999999999</v>
      </c>
      <c r="E25" s="115">
        <f t="shared" si="4"/>
        <v>327.52</v>
      </c>
      <c r="F25" s="92">
        <f t="shared" si="4"/>
        <v>4776.75</v>
      </c>
      <c r="G25" s="92">
        <f t="shared" si="4"/>
        <v>16416.05</v>
      </c>
      <c r="H25" s="92">
        <f t="shared" si="4"/>
        <v>21316.559999999998</v>
      </c>
      <c r="I25" s="92">
        <f t="shared" si="4"/>
        <v>2419.55</v>
      </c>
      <c r="J25" s="92">
        <f t="shared" si="4"/>
        <v>603.3499999999999</v>
      </c>
      <c r="K25" s="92">
        <f t="shared" si="4"/>
        <v>518.8000000000001</v>
      </c>
      <c r="L25" s="92">
        <f t="shared" si="4"/>
        <v>2539</v>
      </c>
      <c r="M25" s="91">
        <f t="shared" si="4"/>
        <v>379.9199999999997</v>
      </c>
      <c r="N25" s="91">
        <f t="shared" si="4"/>
        <v>122510.91000000002</v>
      </c>
      <c r="O25" s="91">
        <f t="shared" si="4"/>
        <v>120156.4</v>
      </c>
      <c r="P25" s="93">
        <f>N25/O25</f>
        <v>1.0195953773581767</v>
      </c>
      <c r="Q25" s="2"/>
      <c r="R25" s="82">
        <f>SUM(R4:R24)</f>
        <v>4289.14</v>
      </c>
      <c r="S25" s="82">
        <f>SUM(S4:S24)</f>
        <v>0</v>
      </c>
      <c r="T25" s="82">
        <f>SUM(T4:T24)</f>
        <v>403.08</v>
      </c>
      <c r="U25" s="125">
        <f>SUM(U4:U24)</f>
        <v>1</v>
      </c>
      <c r="V25" s="126"/>
      <c r="W25" s="82">
        <f>R25+S25+U25+T25+V25</f>
        <v>4693.22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7" t="s">
        <v>33</v>
      </c>
      <c r="S28" s="127"/>
      <c r="T28" s="127"/>
      <c r="U28" s="127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8" t="s">
        <v>29</v>
      </c>
      <c r="S29" s="128"/>
      <c r="T29" s="128"/>
      <c r="U29" s="128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9">
        <v>42948</v>
      </c>
      <c r="S30" s="132">
        <f>'[2]липень'!$D$97</f>
        <v>1</v>
      </c>
      <c r="T30" s="132"/>
      <c r="U30" s="132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0"/>
      <c r="S31" s="132"/>
      <c r="T31" s="132"/>
      <c r="U31" s="132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3" t="s">
        <v>45</v>
      </c>
      <c r="T33" s="134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5" t="s">
        <v>40</v>
      </c>
      <c r="T34" s="135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7" t="s">
        <v>30</v>
      </c>
      <c r="S38" s="127"/>
      <c r="T38" s="127"/>
      <c r="U38" s="127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4" t="s">
        <v>31</v>
      </c>
      <c r="S39" s="124"/>
      <c r="T39" s="124"/>
      <c r="U39" s="124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9">
        <v>42948</v>
      </c>
      <c r="S40" s="131">
        <f>'[3]залишки  (2)'!$K$6/1000</f>
        <v>61040.51314999994</v>
      </c>
      <c r="T40" s="131"/>
      <c r="U40" s="131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0"/>
      <c r="S41" s="131"/>
      <c r="T41" s="131"/>
      <c r="U41" s="131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4:V24"/>
    <mergeCell ref="U25:V25"/>
    <mergeCell ref="R28:U28"/>
    <mergeCell ref="R29:U29"/>
    <mergeCell ref="R30:R31"/>
    <mergeCell ref="S30:U31"/>
    <mergeCell ref="S33:T33"/>
    <mergeCell ref="S34:T34"/>
    <mergeCell ref="R38:U38"/>
    <mergeCell ref="R39:U39"/>
    <mergeCell ref="R40:R41"/>
    <mergeCell ref="S40:U41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6" sqref="B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0" t="s">
        <v>106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2"/>
      <c r="Q1" s="1"/>
      <c r="R1" s="143" t="s">
        <v>107</v>
      </c>
      <c r="S1" s="144"/>
      <c r="T1" s="144"/>
      <c r="U1" s="144"/>
      <c r="V1" s="144"/>
      <c r="W1" s="145"/>
    </row>
    <row r="2" spans="1:23" ht="15" thickBot="1">
      <c r="A2" s="146" t="s">
        <v>108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8"/>
      <c r="Q2" s="1"/>
      <c r="R2" s="149" t="s">
        <v>110</v>
      </c>
      <c r="S2" s="150"/>
      <c r="T2" s="150"/>
      <c r="U2" s="150"/>
      <c r="V2" s="150"/>
      <c r="W2" s="151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109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2" t="s">
        <v>47</v>
      </c>
      <c r="V3" s="153"/>
      <c r="W3" s="25" t="s">
        <v>27</v>
      </c>
    </row>
    <row r="4" spans="1:23" ht="12.75">
      <c r="A4" s="10">
        <v>42948</v>
      </c>
      <c r="B4" s="69">
        <v>705.2</v>
      </c>
      <c r="C4" s="69">
        <v>3.4</v>
      </c>
      <c r="D4" s="113">
        <v>3.4</v>
      </c>
      <c r="E4" s="113">
        <f aca="true" t="shared" si="0" ref="E4:E25">C4-D4</f>
        <v>0</v>
      </c>
      <c r="F4" s="69">
        <v>17.4</v>
      </c>
      <c r="G4" s="69">
        <v>165.8</v>
      </c>
      <c r="H4" s="73">
        <v>621.4</v>
      </c>
      <c r="I4" s="85">
        <v>104.5</v>
      </c>
      <c r="J4" s="85">
        <v>10</v>
      </c>
      <c r="K4" s="85">
        <v>0</v>
      </c>
      <c r="L4" s="69">
        <v>2175.5</v>
      </c>
      <c r="M4" s="69">
        <f aca="true" t="shared" si="1" ref="M4:M25">N4-B4-C4-F4-G4-H4-I4-J4-K4-L4</f>
        <v>14.999999999999545</v>
      </c>
      <c r="N4" s="69">
        <v>3818.2</v>
      </c>
      <c r="O4" s="69">
        <v>5750</v>
      </c>
      <c r="P4" s="3">
        <f aca="true" t="shared" si="2" ref="P4:P25">N4/O4</f>
        <v>0.6640347826086956</v>
      </c>
      <c r="Q4" s="2">
        <f>AVERAGE(N4:N25)</f>
        <v>5429.745454545454</v>
      </c>
      <c r="R4" s="71">
        <v>0</v>
      </c>
      <c r="S4" s="72">
        <v>0</v>
      </c>
      <c r="T4" s="73">
        <v>0</v>
      </c>
      <c r="U4" s="154">
        <v>0</v>
      </c>
      <c r="V4" s="155"/>
      <c r="W4" s="74">
        <f>R4+S4+U4+T4+V4</f>
        <v>0</v>
      </c>
    </row>
    <row r="5" spans="1:23" ht="12.75">
      <c r="A5" s="10">
        <v>42949</v>
      </c>
      <c r="B5" s="69">
        <v>731.9</v>
      </c>
      <c r="C5" s="69">
        <v>3.9</v>
      </c>
      <c r="D5" s="113">
        <v>3.9</v>
      </c>
      <c r="E5" s="113">
        <f t="shared" si="0"/>
        <v>0</v>
      </c>
      <c r="F5" s="69">
        <v>48.9</v>
      </c>
      <c r="G5" s="69">
        <v>144.1</v>
      </c>
      <c r="H5" s="86">
        <v>922</v>
      </c>
      <c r="I5" s="85">
        <v>71.6</v>
      </c>
      <c r="J5" s="85">
        <v>12.3</v>
      </c>
      <c r="K5" s="85">
        <v>0</v>
      </c>
      <c r="L5" s="69">
        <v>0</v>
      </c>
      <c r="M5" s="69">
        <f t="shared" si="1"/>
        <v>20.299999999999823</v>
      </c>
      <c r="N5" s="69">
        <v>1955</v>
      </c>
      <c r="O5" s="69">
        <v>2800</v>
      </c>
      <c r="P5" s="3">
        <f t="shared" si="2"/>
        <v>0.6982142857142857</v>
      </c>
      <c r="Q5" s="2">
        <v>5429.8</v>
      </c>
      <c r="R5" s="75">
        <v>0</v>
      </c>
      <c r="S5" s="69">
        <v>0</v>
      </c>
      <c r="T5" s="76">
        <v>0</v>
      </c>
      <c r="U5" s="136">
        <v>0</v>
      </c>
      <c r="V5" s="137"/>
      <c r="W5" s="74">
        <f aca="true" t="shared" si="3" ref="W5:W25">R5+S5+U5+T5+V5</f>
        <v>0</v>
      </c>
    </row>
    <row r="6" spans="1:23" ht="12.75">
      <c r="A6" s="10">
        <v>42950</v>
      </c>
      <c r="B6" s="69">
        <v>1181.9</v>
      </c>
      <c r="C6" s="69">
        <v>1</v>
      </c>
      <c r="D6" s="113">
        <v>1</v>
      </c>
      <c r="E6" s="113">
        <f t="shared" si="0"/>
        <v>0</v>
      </c>
      <c r="F6" s="78">
        <v>49.2</v>
      </c>
      <c r="G6" s="69">
        <v>215</v>
      </c>
      <c r="H6" s="87">
        <v>802.2</v>
      </c>
      <c r="I6" s="85">
        <v>121.6</v>
      </c>
      <c r="J6" s="85">
        <v>8.8</v>
      </c>
      <c r="K6" s="85">
        <v>554.4</v>
      </c>
      <c r="L6" s="85">
        <v>0</v>
      </c>
      <c r="M6" s="69">
        <f t="shared" si="1"/>
        <v>72.79999999999995</v>
      </c>
      <c r="N6" s="69">
        <v>3006.9</v>
      </c>
      <c r="O6" s="69">
        <v>4000</v>
      </c>
      <c r="P6" s="3">
        <f t="shared" si="2"/>
        <v>0.751725</v>
      </c>
      <c r="Q6" s="2">
        <v>5429.8</v>
      </c>
      <c r="R6" s="77">
        <v>0</v>
      </c>
      <c r="S6" s="78">
        <v>0</v>
      </c>
      <c r="T6" s="79">
        <v>4.6</v>
      </c>
      <c r="U6" s="138">
        <v>0</v>
      </c>
      <c r="V6" s="139"/>
      <c r="W6" s="74">
        <f t="shared" si="3"/>
        <v>4.6</v>
      </c>
    </row>
    <row r="7" spans="1:23" ht="12.75">
      <c r="A7" s="10">
        <v>42951</v>
      </c>
      <c r="B7" s="84">
        <v>6167</v>
      </c>
      <c r="C7" s="69">
        <v>14.6</v>
      </c>
      <c r="D7" s="113">
        <v>14.6</v>
      </c>
      <c r="E7" s="113">
        <f t="shared" si="0"/>
        <v>0</v>
      </c>
      <c r="F7" s="69">
        <v>50.7</v>
      </c>
      <c r="G7" s="69">
        <v>167.8</v>
      </c>
      <c r="H7" s="86">
        <v>1061.9</v>
      </c>
      <c r="I7" s="85">
        <v>5.4</v>
      </c>
      <c r="J7" s="85">
        <v>46.9</v>
      </c>
      <c r="K7" s="85">
        <v>0</v>
      </c>
      <c r="L7" s="85">
        <v>0</v>
      </c>
      <c r="M7" s="69">
        <f t="shared" si="1"/>
        <v>28.099999999999632</v>
      </c>
      <c r="N7" s="69">
        <v>7542.4</v>
      </c>
      <c r="O7" s="69">
        <v>6000</v>
      </c>
      <c r="P7" s="3">
        <f t="shared" si="2"/>
        <v>1.2570666666666666</v>
      </c>
      <c r="Q7" s="2">
        <v>5429.8</v>
      </c>
      <c r="R7" s="77">
        <v>0</v>
      </c>
      <c r="S7" s="78">
        <v>0</v>
      </c>
      <c r="T7" s="79">
        <v>0</v>
      </c>
      <c r="U7" s="138">
        <v>1</v>
      </c>
      <c r="V7" s="139"/>
      <c r="W7" s="74">
        <f t="shared" si="3"/>
        <v>1</v>
      </c>
    </row>
    <row r="8" spans="1:23" ht="12.75">
      <c r="A8" s="10">
        <v>42954</v>
      </c>
      <c r="B8" s="69">
        <v>7852.7</v>
      </c>
      <c r="C8" s="80">
        <v>13.6</v>
      </c>
      <c r="D8" s="113">
        <v>13.6</v>
      </c>
      <c r="E8" s="113">
        <f t="shared" si="0"/>
        <v>0</v>
      </c>
      <c r="F8" s="85">
        <v>0.5</v>
      </c>
      <c r="G8" s="85">
        <v>220.1</v>
      </c>
      <c r="H8" s="69">
        <v>1620.1</v>
      </c>
      <c r="I8" s="85">
        <v>163.8</v>
      </c>
      <c r="J8" s="85">
        <v>49.8</v>
      </c>
      <c r="K8" s="85">
        <v>0</v>
      </c>
      <c r="L8" s="85">
        <v>0</v>
      </c>
      <c r="M8" s="69">
        <f t="shared" si="1"/>
        <v>-11.099999999999554</v>
      </c>
      <c r="N8" s="69">
        <v>9909.5</v>
      </c>
      <c r="O8" s="69">
        <v>9900</v>
      </c>
      <c r="P8" s="3">
        <f t="shared" si="2"/>
        <v>1.000959595959596</v>
      </c>
      <c r="Q8" s="2">
        <v>5429.8</v>
      </c>
      <c r="R8" s="77">
        <v>0</v>
      </c>
      <c r="S8" s="78">
        <v>0</v>
      </c>
      <c r="T8" s="76">
        <v>0</v>
      </c>
      <c r="U8" s="136">
        <v>0</v>
      </c>
      <c r="V8" s="137"/>
      <c r="W8" s="74">
        <f t="shared" si="3"/>
        <v>0</v>
      </c>
    </row>
    <row r="9" spans="1:23" ht="12.75">
      <c r="A9" s="10">
        <v>42955</v>
      </c>
      <c r="B9" s="69">
        <v>2872.2</v>
      </c>
      <c r="C9" s="80">
        <v>15.8</v>
      </c>
      <c r="D9" s="113">
        <v>15.8</v>
      </c>
      <c r="E9" s="113">
        <f>C9-D9</f>
        <v>0</v>
      </c>
      <c r="F9" s="85">
        <v>28</v>
      </c>
      <c r="G9" s="89">
        <v>173</v>
      </c>
      <c r="H9" s="69">
        <v>1456.7</v>
      </c>
      <c r="I9" s="85">
        <v>96.5</v>
      </c>
      <c r="J9" s="85">
        <v>22</v>
      </c>
      <c r="K9" s="85">
        <v>0</v>
      </c>
      <c r="L9" s="85">
        <v>0</v>
      </c>
      <c r="M9" s="69">
        <f>N9-B9-C9-F9-G9-H9-I9-J9-K9-L9</f>
        <v>27.5</v>
      </c>
      <c r="N9" s="69">
        <v>4691.7</v>
      </c>
      <c r="O9" s="69">
        <v>3500</v>
      </c>
      <c r="P9" s="3">
        <f t="shared" si="2"/>
        <v>1.3404857142857143</v>
      </c>
      <c r="Q9" s="2">
        <v>5429.8</v>
      </c>
      <c r="R9" s="77">
        <v>0</v>
      </c>
      <c r="S9" s="78">
        <v>0</v>
      </c>
      <c r="T9" s="76">
        <v>0</v>
      </c>
      <c r="U9" s="136">
        <v>0</v>
      </c>
      <c r="V9" s="137"/>
      <c r="W9" s="74">
        <f t="shared" si="3"/>
        <v>0</v>
      </c>
    </row>
    <row r="10" spans="1:23" ht="12.75">
      <c r="A10" s="10">
        <v>42956</v>
      </c>
      <c r="B10" s="69">
        <v>3346.5</v>
      </c>
      <c r="C10" s="80">
        <v>13.9</v>
      </c>
      <c r="D10" s="113">
        <v>13.9</v>
      </c>
      <c r="E10" s="113">
        <f>C10-D10</f>
        <v>0</v>
      </c>
      <c r="F10" s="85">
        <v>34.9</v>
      </c>
      <c r="G10" s="85">
        <v>196.2</v>
      </c>
      <c r="H10" s="69">
        <v>1510.7</v>
      </c>
      <c r="I10" s="85">
        <v>60.8</v>
      </c>
      <c r="J10" s="85">
        <v>85.1</v>
      </c>
      <c r="K10" s="85">
        <v>0</v>
      </c>
      <c r="L10" s="85">
        <v>0</v>
      </c>
      <c r="M10" s="69">
        <f t="shared" si="1"/>
        <v>44.09999999999954</v>
      </c>
      <c r="N10" s="69">
        <v>5292.2</v>
      </c>
      <c r="O10" s="78">
        <v>3400</v>
      </c>
      <c r="P10" s="3">
        <f t="shared" si="2"/>
        <v>1.556529411764706</v>
      </c>
      <c r="Q10" s="2">
        <v>5429.8</v>
      </c>
      <c r="R10" s="77">
        <v>0</v>
      </c>
      <c r="S10" s="78">
        <v>0</v>
      </c>
      <c r="T10" s="76">
        <v>0</v>
      </c>
      <c r="U10" s="136">
        <v>0</v>
      </c>
      <c r="V10" s="137"/>
      <c r="W10" s="74">
        <f>R10+S10+U10+T10+V10</f>
        <v>0</v>
      </c>
    </row>
    <row r="11" spans="1:23" ht="12.75">
      <c r="A11" s="10">
        <v>42957</v>
      </c>
      <c r="B11" s="69">
        <v>640.7</v>
      </c>
      <c r="C11" s="80">
        <v>21.4</v>
      </c>
      <c r="D11" s="113">
        <v>21.4</v>
      </c>
      <c r="E11" s="113">
        <f t="shared" si="0"/>
        <v>0</v>
      </c>
      <c r="F11" s="85">
        <v>32.9</v>
      </c>
      <c r="G11" s="85">
        <v>153.6</v>
      </c>
      <c r="H11" s="69">
        <v>968.5</v>
      </c>
      <c r="I11" s="85">
        <v>92.3</v>
      </c>
      <c r="J11" s="85">
        <v>25.3</v>
      </c>
      <c r="K11" s="85">
        <v>-7.2</v>
      </c>
      <c r="L11" s="85">
        <v>0</v>
      </c>
      <c r="M11" s="69">
        <f>N11-B11-C11-F11-G11-H11-I11-J11-K11-L11</f>
        <v>232.19999999999965</v>
      </c>
      <c r="N11" s="69">
        <v>2159.7</v>
      </c>
      <c r="O11" s="69">
        <v>3300</v>
      </c>
      <c r="P11" s="3">
        <f t="shared" si="2"/>
        <v>0.6544545454545454</v>
      </c>
      <c r="Q11" s="2">
        <v>5429.8</v>
      </c>
      <c r="R11" s="75">
        <v>0</v>
      </c>
      <c r="S11" s="69">
        <v>0</v>
      </c>
      <c r="T11" s="76">
        <v>0</v>
      </c>
      <c r="U11" s="136">
        <v>0</v>
      </c>
      <c r="V11" s="137"/>
      <c r="W11" s="74">
        <f t="shared" si="3"/>
        <v>0</v>
      </c>
    </row>
    <row r="12" spans="1:23" ht="12.75">
      <c r="A12" s="10">
        <v>42958</v>
      </c>
      <c r="B12" s="84">
        <v>891.5</v>
      </c>
      <c r="C12" s="80">
        <v>157.3</v>
      </c>
      <c r="D12" s="113">
        <v>157.3</v>
      </c>
      <c r="E12" s="113">
        <f t="shared" si="0"/>
        <v>0</v>
      </c>
      <c r="F12" s="85">
        <v>23.3</v>
      </c>
      <c r="G12" s="85">
        <v>308.1</v>
      </c>
      <c r="H12" s="69">
        <v>1166.5</v>
      </c>
      <c r="I12" s="85">
        <v>94.7</v>
      </c>
      <c r="J12" s="85">
        <v>21.4</v>
      </c>
      <c r="K12" s="85">
        <v>0</v>
      </c>
      <c r="L12" s="85">
        <v>0</v>
      </c>
      <c r="M12" s="69">
        <f>N12-B12-C12-F12-G12-H12-I12-J12-K12-L12</f>
        <v>28.000000000000362</v>
      </c>
      <c r="N12" s="69">
        <v>2690.8</v>
      </c>
      <c r="O12" s="69">
        <v>3800</v>
      </c>
      <c r="P12" s="3">
        <f t="shared" si="2"/>
        <v>0.7081052631578948</v>
      </c>
      <c r="Q12" s="2">
        <v>5429.8</v>
      </c>
      <c r="R12" s="75">
        <v>0</v>
      </c>
      <c r="S12" s="69">
        <v>0</v>
      </c>
      <c r="T12" s="76">
        <v>40</v>
      </c>
      <c r="U12" s="136">
        <v>0</v>
      </c>
      <c r="V12" s="137"/>
      <c r="W12" s="74">
        <f t="shared" si="3"/>
        <v>40</v>
      </c>
    </row>
    <row r="13" spans="1:23" ht="12.75">
      <c r="A13" s="10">
        <v>42961</v>
      </c>
      <c r="B13" s="69">
        <v>1039.1</v>
      </c>
      <c r="C13" s="80">
        <v>44.13</v>
      </c>
      <c r="D13" s="113">
        <v>44.1</v>
      </c>
      <c r="E13" s="113">
        <f t="shared" si="0"/>
        <v>0.030000000000001137</v>
      </c>
      <c r="F13" s="85">
        <v>17.9</v>
      </c>
      <c r="G13" s="85">
        <v>301.7</v>
      </c>
      <c r="H13" s="69">
        <v>1627.6</v>
      </c>
      <c r="I13" s="85">
        <v>92.1</v>
      </c>
      <c r="J13" s="85">
        <v>10.7</v>
      </c>
      <c r="K13" s="85">
        <v>0</v>
      </c>
      <c r="L13" s="85">
        <v>0</v>
      </c>
      <c r="M13" s="69">
        <f>N13-B13-C13-F13-G13-H13-I13-J13-K13-L13</f>
        <v>41.96999999999976</v>
      </c>
      <c r="N13" s="69">
        <v>3175.2</v>
      </c>
      <c r="O13" s="69">
        <v>9600</v>
      </c>
      <c r="P13" s="3">
        <f t="shared" si="2"/>
        <v>0.33075</v>
      </c>
      <c r="Q13" s="2">
        <v>5429.8</v>
      </c>
      <c r="R13" s="75">
        <v>0</v>
      </c>
      <c r="S13" s="69">
        <v>0</v>
      </c>
      <c r="T13" s="76">
        <v>0</v>
      </c>
      <c r="U13" s="136">
        <v>0</v>
      </c>
      <c r="V13" s="137"/>
      <c r="W13" s="74">
        <f t="shared" si="3"/>
        <v>0</v>
      </c>
    </row>
    <row r="14" spans="1:23" ht="12.75">
      <c r="A14" s="10">
        <v>42962</v>
      </c>
      <c r="B14" s="69">
        <v>5586.9</v>
      </c>
      <c r="C14" s="80">
        <v>62.5</v>
      </c>
      <c r="D14" s="113">
        <v>62.5</v>
      </c>
      <c r="E14" s="113">
        <f t="shared" si="0"/>
        <v>0</v>
      </c>
      <c r="F14" s="85">
        <v>62.6</v>
      </c>
      <c r="G14" s="85">
        <v>361.4</v>
      </c>
      <c r="H14" s="69">
        <v>1477.8</v>
      </c>
      <c r="I14" s="85">
        <v>223.7</v>
      </c>
      <c r="J14" s="85">
        <v>7</v>
      </c>
      <c r="K14" s="85">
        <v>0</v>
      </c>
      <c r="L14" s="85">
        <v>0</v>
      </c>
      <c r="M14" s="69">
        <f t="shared" si="1"/>
        <v>639.2000000000007</v>
      </c>
      <c r="N14" s="69">
        <v>8421.1</v>
      </c>
      <c r="O14" s="69">
        <v>5000</v>
      </c>
      <c r="P14" s="3">
        <f t="shared" si="2"/>
        <v>1.68422</v>
      </c>
      <c r="Q14" s="2">
        <v>5429.8</v>
      </c>
      <c r="R14" s="75">
        <v>0</v>
      </c>
      <c r="S14" s="69">
        <v>0</v>
      </c>
      <c r="T14" s="80">
        <v>0.3</v>
      </c>
      <c r="U14" s="136">
        <v>0</v>
      </c>
      <c r="V14" s="137"/>
      <c r="W14" s="74">
        <f t="shared" si="3"/>
        <v>0.3</v>
      </c>
    </row>
    <row r="15" spans="1:23" ht="12.75">
      <c r="A15" s="10">
        <v>42963</v>
      </c>
      <c r="B15" s="69">
        <v>3272.5</v>
      </c>
      <c r="C15" s="69">
        <v>113.2</v>
      </c>
      <c r="D15" s="113">
        <v>113.2</v>
      </c>
      <c r="E15" s="113">
        <f t="shared" si="0"/>
        <v>0</v>
      </c>
      <c r="F15" s="88">
        <v>36</v>
      </c>
      <c r="G15" s="88">
        <v>613</v>
      </c>
      <c r="H15" s="89">
        <v>2644.6</v>
      </c>
      <c r="I15" s="88">
        <v>82.7</v>
      </c>
      <c r="J15" s="88">
        <v>3.8</v>
      </c>
      <c r="K15" s="88">
        <v>0</v>
      </c>
      <c r="L15" s="88">
        <v>0</v>
      </c>
      <c r="M15" s="69">
        <f t="shared" si="1"/>
        <v>158.00000000000045</v>
      </c>
      <c r="N15" s="69">
        <v>6923.8</v>
      </c>
      <c r="O15" s="78">
        <v>4800</v>
      </c>
      <c r="P15" s="3">
        <f>N15/O15</f>
        <v>1.4424583333333334</v>
      </c>
      <c r="Q15" s="2">
        <v>5429.8</v>
      </c>
      <c r="R15" s="75">
        <v>0</v>
      </c>
      <c r="S15" s="69">
        <v>0</v>
      </c>
      <c r="T15" s="80">
        <v>7.5</v>
      </c>
      <c r="U15" s="136">
        <v>0</v>
      </c>
      <c r="V15" s="137"/>
      <c r="W15" s="74">
        <f t="shared" si="3"/>
        <v>7.5</v>
      </c>
    </row>
    <row r="16" spans="1:23" ht="12.75">
      <c r="A16" s="10">
        <v>42964</v>
      </c>
      <c r="B16" s="69">
        <v>1511.6</v>
      </c>
      <c r="C16" s="80">
        <v>94.6</v>
      </c>
      <c r="D16" s="113">
        <v>94.6</v>
      </c>
      <c r="E16" s="113">
        <f t="shared" si="0"/>
        <v>0</v>
      </c>
      <c r="F16" s="85">
        <v>53.4</v>
      </c>
      <c r="G16" s="85">
        <v>575.4</v>
      </c>
      <c r="H16" s="69">
        <v>3703.3</v>
      </c>
      <c r="I16" s="85">
        <v>101.7</v>
      </c>
      <c r="J16" s="85">
        <v>8.9</v>
      </c>
      <c r="K16" s="85">
        <v>0</v>
      </c>
      <c r="L16" s="85">
        <v>0</v>
      </c>
      <c r="M16" s="69">
        <f t="shared" si="1"/>
        <v>343.90000000000094</v>
      </c>
      <c r="N16" s="69">
        <v>6392.8</v>
      </c>
      <c r="O16" s="78">
        <v>4500</v>
      </c>
      <c r="P16" s="3">
        <f t="shared" si="2"/>
        <v>1.4206222222222222</v>
      </c>
      <c r="Q16" s="2">
        <v>5429.8</v>
      </c>
      <c r="R16" s="75">
        <v>0</v>
      </c>
      <c r="S16" s="69">
        <v>0</v>
      </c>
      <c r="T16" s="80">
        <v>0</v>
      </c>
      <c r="U16" s="136">
        <v>0</v>
      </c>
      <c r="V16" s="137"/>
      <c r="W16" s="74">
        <f t="shared" si="3"/>
        <v>0</v>
      </c>
    </row>
    <row r="17" spans="1:23" ht="12.75">
      <c r="A17" s="10">
        <v>42965</v>
      </c>
      <c r="B17" s="69">
        <v>2696</v>
      </c>
      <c r="C17" s="80">
        <v>51.9</v>
      </c>
      <c r="D17" s="113">
        <v>51.9</v>
      </c>
      <c r="E17" s="113">
        <f t="shared" si="0"/>
        <v>0</v>
      </c>
      <c r="F17" s="85">
        <v>51.4</v>
      </c>
      <c r="G17" s="85">
        <v>414.8</v>
      </c>
      <c r="H17" s="69">
        <v>3384.7</v>
      </c>
      <c r="I17" s="85">
        <v>84.4</v>
      </c>
      <c r="J17" s="85">
        <v>27.8</v>
      </c>
      <c r="K17" s="85">
        <v>0</v>
      </c>
      <c r="L17" s="85">
        <v>0</v>
      </c>
      <c r="M17" s="69">
        <f t="shared" si="1"/>
        <v>264.1000000000011</v>
      </c>
      <c r="N17" s="69">
        <v>6975.1</v>
      </c>
      <c r="O17" s="69">
        <v>4400</v>
      </c>
      <c r="P17" s="3">
        <f t="shared" si="2"/>
        <v>1.58525</v>
      </c>
      <c r="Q17" s="2">
        <v>5429.8</v>
      </c>
      <c r="R17" s="75">
        <v>0</v>
      </c>
      <c r="S17" s="69">
        <v>0</v>
      </c>
      <c r="T17" s="80">
        <v>0</v>
      </c>
      <c r="U17" s="136">
        <v>0</v>
      </c>
      <c r="V17" s="137"/>
      <c r="W17" s="74">
        <f t="shared" si="3"/>
        <v>0</v>
      </c>
    </row>
    <row r="18" spans="1:23" ht="12.75">
      <c r="A18" s="10">
        <v>42966</v>
      </c>
      <c r="B18" s="69">
        <v>1429.3</v>
      </c>
      <c r="C18" s="80">
        <v>5.1</v>
      </c>
      <c r="D18" s="113">
        <v>5.1</v>
      </c>
      <c r="E18" s="113">
        <f t="shared" si="0"/>
        <v>0</v>
      </c>
      <c r="F18" s="85">
        <v>4.9</v>
      </c>
      <c r="G18" s="85">
        <v>739.5</v>
      </c>
      <c r="H18" s="69">
        <v>967.9</v>
      </c>
      <c r="I18" s="85">
        <v>55.6</v>
      </c>
      <c r="J18" s="85">
        <v>11.2</v>
      </c>
      <c r="K18" s="85">
        <v>0</v>
      </c>
      <c r="L18" s="85">
        <v>0</v>
      </c>
      <c r="M18" s="69">
        <f t="shared" si="1"/>
        <v>5.4000000000001585</v>
      </c>
      <c r="N18" s="69">
        <v>3218.9</v>
      </c>
      <c r="O18" s="69">
        <v>5900</v>
      </c>
      <c r="P18" s="3">
        <f>N18/O18</f>
        <v>0.5455762711864407</v>
      </c>
      <c r="Q18" s="2">
        <v>5429.8</v>
      </c>
      <c r="R18" s="75">
        <v>0</v>
      </c>
      <c r="S18" s="69">
        <v>0</v>
      </c>
      <c r="T18" s="76">
        <v>0</v>
      </c>
      <c r="U18" s="136">
        <v>0</v>
      </c>
      <c r="V18" s="137"/>
      <c r="W18" s="74">
        <f t="shared" si="3"/>
        <v>0</v>
      </c>
    </row>
    <row r="19" spans="1:23" ht="12.75">
      <c r="A19" s="10">
        <v>42968</v>
      </c>
      <c r="B19" s="69">
        <v>2805.9</v>
      </c>
      <c r="C19" s="80">
        <v>310.6</v>
      </c>
      <c r="D19" s="113">
        <v>310.6</v>
      </c>
      <c r="E19" s="113">
        <f t="shared" si="0"/>
        <v>0</v>
      </c>
      <c r="F19" s="85">
        <v>20.4</v>
      </c>
      <c r="G19" s="85">
        <v>549.8</v>
      </c>
      <c r="H19" s="69">
        <v>311.1</v>
      </c>
      <c r="I19" s="85">
        <v>126.5</v>
      </c>
      <c r="J19" s="85">
        <v>1.3</v>
      </c>
      <c r="K19" s="85">
        <v>0</v>
      </c>
      <c r="L19" s="85">
        <v>0</v>
      </c>
      <c r="M19" s="69">
        <f>N19-B19-C19-F19-G19-H19-I19-J19-K19-L19</f>
        <v>7.299999999999568</v>
      </c>
      <c r="N19" s="69">
        <v>4132.9</v>
      </c>
      <c r="O19" s="69">
        <v>4800</v>
      </c>
      <c r="P19" s="3">
        <f>N19/O19</f>
        <v>0.8610208333333332</v>
      </c>
      <c r="Q19" s="2">
        <v>5429.8</v>
      </c>
      <c r="R19" s="75">
        <v>0</v>
      </c>
      <c r="S19" s="69">
        <v>0</v>
      </c>
      <c r="T19" s="76">
        <v>0.2</v>
      </c>
      <c r="U19" s="136">
        <v>0</v>
      </c>
      <c r="V19" s="137"/>
      <c r="W19" s="74">
        <f t="shared" si="3"/>
        <v>0.2</v>
      </c>
    </row>
    <row r="20" spans="1:23" ht="12.75">
      <c r="A20" s="10">
        <v>42969</v>
      </c>
      <c r="B20" s="69">
        <v>4454.3</v>
      </c>
      <c r="C20" s="80">
        <v>122.6</v>
      </c>
      <c r="D20" s="113">
        <v>122.6</v>
      </c>
      <c r="E20" s="113">
        <f t="shared" si="0"/>
        <v>0</v>
      </c>
      <c r="F20" s="85">
        <v>77.5</v>
      </c>
      <c r="G20" s="69">
        <v>661.5</v>
      </c>
      <c r="H20" s="69">
        <v>127.2</v>
      </c>
      <c r="I20" s="85">
        <v>103.5</v>
      </c>
      <c r="J20" s="85">
        <v>26.1</v>
      </c>
      <c r="K20" s="85">
        <v>0</v>
      </c>
      <c r="L20" s="85">
        <v>0</v>
      </c>
      <c r="M20" s="69">
        <f>N20-B20-C20-F20-G20-H20-I20-J20-K20-L20</f>
        <v>11.699999999999442</v>
      </c>
      <c r="N20" s="69">
        <v>5584.4</v>
      </c>
      <c r="O20" s="69">
        <v>4800</v>
      </c>
      <c r="P20" s="3">
        <f>N20/O20</f>
        <v>1.1634166666666665</v>
      </c>
      <c r="Q20" s="2">
        <v>5429.8</v>
      </c>
      <c r="R20" s="75">
        <v>2.7</v>
      </c>
      <c r="S20" s="69">
        <v>0</v>
      </c>
      <c r="T20" s="76">
        <v>20</v>
      </c>
      <c r="U20" s="136">
        <v>0</v>
      </c>
      <c r="V20" s="137"/>
      <c r="W20" s="74">
        <f t="shared" si="3"/>
        <v>22.7</v>
      </c>
    </row>
    <row r="21" spans="1:23" ht="12.75">
      <c r="A21" s="10">
        <v>42970</v>
      </c>
      <c r="B21" s="69">
        <v>2788.9</v>
      </c>
      <c r="C21" s="80">
        <v>115.8</v>
      </c>
      <c r="D21" s="113">
        <v>115.8</v>
      </c>
      <c r="E21" s="113">
        <f t="shared" si="0"/>
        <v>0</v>
      </c>
      <c r="F21" s="85">
        <v>49.2</v>
      </c>
      <c r="G21" s="69">
        <v>1039.5</v>
      </c>
      <c r="H21" s="69">
        <v>201.2</v>
      </c>
      <c r="I21" s="85">
        <v>18.7</v>
      </c>
      <c r="J21" s="85">
        <v>4.8</v>
      </c>
      <c r="K21" s="85">
        <v>0</v>
      </c>
      <c r="L21" s="85">
        <v>0</v>
      </c>
      <c r="M21" s="69">
        <f t="shared" si="1"/>
        <v>16.700000000000102</v>
      </c>
      <c r="N21" s="69">
        <v>4234.8</v>
      </c>
      <c r="O21" s="69">
        <v>4800</v>
      </c>
      <c r="P21" s="3">
        <f t="shared" si="2"/>
        <v>0.8822500000000001</v>
      </c>
      <c r="Q21" s="2">
        <v>5429.8</v>
      </c>
      <c r="R21" s="81">
        <v>11.2</v>
      </c>
      <c r="S21" s="80">
        <v>0</v>
      </c>
      <c r="T21" s="76">
        <v>27</v>
      </c>
      <c r="U21" s="136">
        <v>0</v>
      </c>
      <c r="V21" s="137"/>
      <c r="W21" s="74">
        <f t="shared" si="3"/>
        <v>38.2</v>
      </c>
    </row>
    <row r="22" spans="1:23" ht="12.75">
      <c r="A22" s="10">
        <v>42975</v>
      </c>
      <c r="B22" s="69">
        <v>819.2</v>
      </c>
      <c r="C22" s="80">
        <v>3149.4</v>
      </c>
      <c r="D22" s="113">
        <v>3149.4</v>
      </c>
      <c r="E22" s="113">
        <f t="shared" si="0"/>
        <v>0</v>
      </c>
      <c r="F22" s="85">
        <v>87.4</v>
      </c>
      <c r="G22" s="69">
        <v>2163.2</v>
      </c>
      <c r="H22" s="69">
        <v>112.6</v>
      </c>
      <c r="I22" s="85">
        <v>115.1</v>
      </c>
      <c r="J22" s="85">
        <v>4.6</v>
      </c>
      <c r="K22" s="85">
        <v>0</v>
      </c>
      <c r="L22" s="85">
        <v>0</v>
      </c>
      <c r="M22" s="69">
        <f t="shared" si="1"/>
        <v>17.399999999999828</v>
      </c>
      <c r="N22" s="69">
        <v>6468.9</v>
      </c>
      <c r="O22" s="69">
        <v>5300</v>
      </c>
      <c r="P22" s="3">
        <f>N22/O22</f>
        <v>1.2205471698113206</v>
      </c>
      <c r="Q22" s="2">
        <v>5429.8</v>
      </c>
      <c r="R22" s="81">
        <v>0</v>
      </c>
      <c r="S22" s="80">
        <v>0</v>
      </c>
      <c r="T22" s="76">
        <v>0</v>
      </c>
      <c r="U22" s="136">
        <v>0</v>
      </c>
      <c r="V22" s="137"/>
      <c r="W22" s="74">
        <f t="shared" si="3"/>
        <v>0</v>
      </c>
    </row>
    <row r="23" spans="1:23" ht="12.75">
      <c r="A23" s="10">
        <v>42976</v>
      </c>
      <c r="B23" s="69">
        <v>1315.2</v>
      </c>
      <c r="C23" s="80">
        <v>513.1</v>
      </c>
      <c r="D23" s="113">
        <v>513.1</v>
      </c>
      <c r="E23" s="113">
        <f t="shared" si="0"/>
        <v>0</v>
      </c>
      <c r="F23" s="85">
        <v>104</v>
      </c>
      <c r="G23" s="69">
        <v>3039</v>
      </c>
      <c r="H23" s="69">
        <v>130.2</v>
      </c>
      <c r="I23" s="85">
        <v>98.2</v>
      </c>
      <c r="J23" s="85">
        <v>14.7</v>
      </c>
      <c r="K23" s="85">
        <v>0</v>
      </c>
      <c r="L23" s="85">
        <v>0</v>
      </c>
      <c r="M23" s="69">
        <f t="shared" si="1"/>
        <v>10.3000000000001</v>
      </c>
      <c r="N23" s="69">
        <v>5224.7</v>
      </c>
      <c r="O23" s="69">
        <v>11500</v>
      </c>
      <c r="P23" s="3">
        <f>N23/O23</f>
        <v>0.4543217391304348</v>
      </c>
      <c r="Q23" s="2">
        <v>5429.8</v>
      </c>
      <c r="R23" s="81">
        <v>0</v>
      </c>
      <c r="S23" s="80">
        <v>0</v>
      </c>
      <c r="T23" s="76">
        <v>0</v>
      </c>
      <c r="U23" s="136">
        <v>0</v>
      </c>
      <c r="V23" s="137"/>
      <c r="W23" s="74">
        <f t="shared" si="3"/>
        <v>0</v>
      </c>
    </row>
    <row r="24" spans="1:23" ht="12.75">
      <c r="A24" s="10">
        <v>42977</v>
      </c>
      <c r="B24" s="69">
        <v>5927.2</v>
      </c>
      <c r="C24" s="80">
        <v>441.1</v>
      </c>
      <c r="D24" s="113">
        <v>441.1</v>
      </c>
      <c r="E24" s="113">
        <f t="shared" si="0"/>
        <v>0</v>
      </c>
      <c r="F24" s="85">
        <v>128.3</v>
      </c>
      <c r="G24" s="69">
        <v>2868.1</v>
      </c>
      <c r="H24" s="69">
        <v>159.4</v>
      </c>
      <c r="I24" s="85">
        <v>121.6</v>
      </c>
      <c r="J24" s="85">
        <v>16</v>
      </c>
      <c r="K24" s="85">
        <v>0</v>
      </c>
      <c r="L24" s="85">
        <v>0</v>
      </c>
      <c r="M24" s="69">
        <f t="shared" si="1"/>
        <v>10.50000000000091</v>
      </c>
      <c r="N24" s="69">
        <v>9672.2</v>
      </c>
      <c r="O24" s="69">
        <f>12893.4-587</f>
        <v>12306.4</v>
      </c>
      <c r="P24" s="3">
        <f t="shared" si="2"/>
        <v>0.7859487746213353</v>
      </c>
      <c r="Q24" s="2">
        <v>5429.8</v>
      </c>
      <c r="R24" s="81">
        <v>50.04</v>
      </c>
      <c r="S24" s="80">
        <v>0</v>
      </c>
      <c r="T24" s="76">
        <v>0</v>
      </c>
      <c r="U24" s="136">
        <v>0</v>
      </c>
      <c r="V24" s="137"/>
      <c r="W24" s="74">
        <f t="shared" si="3"/>
        <v>50.04</v>
      </c>
    </row>
    <row r="25" spans="1:23" ht="13.5" thickBot="1">
      <c r="A25" s="118">
        <v>42978</v>
      </c>
      <c r="B25" s="119">
        <v>7101.5</v>
      </c>
      <c r="C25" s="120">
        <v>49.3</v>
      </c>
      <c r="D25" s="121">
        <v>49.3</v>
      </c>
      <c r="E25" s="121">
        <f t="shared" si="0"/>
        <v>0</v>
      </c>
      <c r="F25" s="122">
        <v>59</v>
      </c>
      <c r="G25" s="119">
        <v>376.9</v>
      </c>
      <c r="H25" s="119">
        <v>212.7</v>
      </c>
      <c r="I25" s="122">
        <v>94.8</v>
      </c>
      <c r="J25" s="122">
        <v>20.6</v>
      </c>
      <c r="K25" s="122">
        <v>0</v>
      </c>
      <c r="L25" s="122">
        <v>0</v>
      </c>
      <c r="M25" s="69">
        <f t="shared" si="1"/>
        <v>48.3999999999999</v>
      </c>
      <c r="N25" s="119">
        <v>7963.2</v>
      </c>
      <c r="O25" s="119">
        <v>8000</v>
      </c>
      <c r="P25" s="3">
        <f t="shared" si="2"/>
        <v>0.9954</v>
      </c>
      <c r="Q25" s="2">
        <v>5429.8</v>
      </c>
      <c r="R25" s="69">
        <v>0</v>
      </c>
      <c r="S25" s="69">
        <v>0</v>
      </c>
      <c r="T25" s="69">
        <v>963.04</v>
      </c>
      <c r="U25" s="160">
        <v>0</v>
      </c>
      <c r="V25" s="160"/>
      <c r="W25" s="69">
        <f t="shared" si="3"/>
        <v>963.04</v>
      </c>
    </row>
    <row r="26" spans="1:23" ht="13.5" thickBot="1">
      <c r="A26" s="90" t="s">
        <v>28</v>
      </c>
      <c r="B26" s="92">
        <f aca="true" t="shared" si="4" ref="B26:L26">SUM(B4:B25)</f>
        <v>65137.2</v>
      </c>
      <c r="C26" s="92">
        <f t="shared" si="4"/>
        <v>5318.2300000000005</v>
      </c>
      <c r="D26" s="115">
        <f t="shared" si="4"/>
        <v>5318.200000000001</v>
      </c>
      <c r="E26" s="115">
        <f t="shared" si="4"/>
        <v>0.030000000000001137</v>
      </c>
      <c r="F26" s="92">
        <f t="shared" si="4"/>
        <v>1037.8</v>
      </c>
      <c r="G26" s="92">
        <f t="shared" si="4"/>
        <v>15447.5</v>
      </c>
      <c r="H26" s="92">
        <f t="shared" si="4"/>
        <v>25190.300000000003</v>
      </c>
      <c r="I26" s="92">
        <f t="shared" si="4"/>
        <v>2129.8</v>
      </c>
      <c r="J26" s="92">
        <f t="shared" si="4"/>
        <v>439.1</v>
      </c>
      <c r="K26" s="92">
        <f t="shared" si="4"/>
        <v>547.1999999999999</v>
      </c>
      <c r="L26" s="92">
        <f t="shared" si="4"/>
        <v>2175.5</v>
      </c>
      <c r="M26" s="91">
        <f>SUM(M4:M24)</f>
        <v>1983.370000000002</v>
      </c>
      <c r="N26" s="91">
        <f>SUM(N4:N25)</f>
        <v>119454.39999999998</v>
      </c>
      <c r="O26" s="91">
        <f>SUM(O4:O25)</f>
        <v>128156.4</v>
      </c>
      <c r="P26" s="93">
        <f>N26/O26</f>
        <v>0.9320985920328597</v>
      </c>
      <c r="Q26" s="2"/>
      <c r="R26" s="82">
        <f>SUM(R4:R25)</f>
        <v>63.94</v>
      </c>
      <c r="S26" s="82">
        <f>SUM(S4:S25)</f>
        <v>0</v>
      </c>
      <c r="T26" s="82">
        <f>SUM(T4:T25)</f>
        <v>1062.6399999999999</v>
      </c>
      <c r="U26" s="125">
        <f>SUM(U4:U24)</f>
        <v>1</v>
      </c>
      <c r="V26" s="126"/>
      <c r="W26" s="82">
        <f>R26+S26+U26+T26+V26</f>
        <v>1127.58</v>
      </c>
    </row>
    <row r="27" spans="1:17" ht="14.25">
      <c r="A27" s="1"/>
      <c r="B27" s="9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7" t="s">
        <v>33</v>
      </c>
      <c r="S29" s="127"/>
      <c r="T29" s="127"/>
      <c r="U29" s="127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8" t="s">
        <v>29</v>
      </c>
      <c r="S30" s="128"/>
      <c r="T30" s="128"/>
      <c r="U30" s="128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29">
        <v>42979</v>
      </c>
      <c r="S31" s="132">
        <f>'[4]серпень'!$D$97</f>
        <v>50</v>
      </c>
      <c r="T31" s="132"/>
      <c r="U31" s="132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0"/>
      <c r="S32" s="132"/>
      <c r="T32" s="132"/>
      <c r="U32" s="132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3" t="s">
        <v>45</v>
      </c>
      <c r="T34" s="134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5" t="s">
        <v>40</v>
      </c>
      <c r="T35" s="135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7" t="s">
        <v>30</v>
      </c>
      <c r="S39" s="127"/>
      <c r="T39" s="127"/>
      <c r="U39" s="127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4" t="s">
        <v>31</v>
      </c>
      <c r="S40" s="124"/>
      <c r="T40" s="124"/>
      <c r="U40" s="124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29">
        <v>42979</v>
      </c>
      <c r="S41" s="131">
        <v>53176.6</v>
      </c>
      <c r="T41" s="131"/>
      <c r="U41" s="131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0"/>
      <c r="S42" s="131"/>
      <c r="T42" s="131"/>
      <c r="U42" s="131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4:V24"/>
    <mergeCell ref="U26:V26"/>
    <mergeCell ref="R29:U29"/>
    <mergeCell ref="R30:U30"/>
    <mergeCell ref="R31:R32"/>
    <mergeCell ref="S31:U32"/>
    <mergeCell ref="U23:V23"/>
    <mergeCell ref="U25:V25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W47"/>
  <sheetViews>
    <sheetView tabSelected="1" zoomScalePageLayoutView="0"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0" t="s">
        <v>112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2"/>
      <c r="Q1" s="1"/>
      <c r="R1" s="143" t="s">
        <v>114</v>
      </c>
      <c r="S1" s="144"/>
      <c r="T1" s="144"/>
      <c r="U1" s="144"/>
      <c r="V1" s="144"/>
      <c r="W1" s="145"/>
    </row>
    <row r="2" spans="1:23" ht="15" thickBot="1">
      <c r="A2" s="146" t="s">
        <v>111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8"/>
      <c r="Q2" s="1"/>
      <c r="R2" s="149" t="s">
        <v>115</v>
      </c>
      <c r="S2" s="150"/>
      <c r="T2" s="150"/>
      <c r="U2" s="150"/>
      <c r="V2" s="150"/>
      <c r="W2" s="151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113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2" t="s">
        <v>47</v>
      </c>
      <c r="V3" s="153"/>
      <c r="W3" s="25" t="s">
        <v>27</v>
      </c>
    </row>
    <row r="4" spans="1:23" ht="12.75">
      <c r="A4" s="10">
        <v>42979</v>
      </c>
      <c r="B4" s="69">
        <v>1997.7</v>
      </c>
      <c r="C4" s="69">
        <v>1.8</v>
      </c>
      <c r="D4" s="113">
        <v>1.8</v>
      </c>
      <c r="E4" s="113">
        <f aca="true" t="shared" si="0" ref="E4:E24">C4-D4</f>
        <v>0</v>
      </c>
      <c r="F4" s="69">
        <v>24.4</v>
      </c>
      <c r="G4" s="69">
        <v>127.4</v>
      </c>
      <c r="H4" s="73">
        <v>315.7</v>
      </c>
      <c r="I4" s="85">
        <v>108.1</v>
      </c>
      <c r="J4" s="85">
        <v>22.1</v>
      </c>
      <c r="K4" s="85">
        <v>0</v>
      </c>
      <c r="L4" s="69">
        <v>2426.9</v>
      </c>
      <c r="M4" s="69">
        <f aca="true" t="shared" si="1" ref="M4:M24">N4-B4-C4-F4-G4-H4-I4-J4-K4-L4</f>
        <v>13.799999999999727</v>
      </c>
      <c r="N4" s="69">
        <v>5037.9</v>
      </c>
      <c r="O4" s="69">
        <v>5000</v>
      </c>
      <c r="P4" s="3">
        <f aca="true" t="shared" si="2" ref="P4:P24">N4/O4</f>
        <v>1.00758</v>
      </c>
      <c r="Q4" s="2">
        <f>AVERAGE(N4:N4)</f>
        <v>5037.9</v>
      </c>
      <c r="R4" s="71">
        <v>0</v>
      </c>
      <c r="S4" s="72">
        <v>0</v>
      </c>
      <c r="T4" s="73">
        <v>418.6</v>
      </c>
      <c r="U4" s="154">
        <v>0</v>
      </c>
      <c r="V4" s="155"/>
      <c r="W4" s="74">
        <f>R4+S4+U4+T4+V4</f>
        <v>418.6</v>
      </c>
    </row>
    <row r="5" spans="1:23" ht="12.75">
      <c r="A5" s="10">
        <v>42982</v>
      </c>
      <c r="B5" s="69"/>
      <c r="C5" s="69"/>
      <c r="D5" s="113"/>
      <c r="E5" s="113">
        <f t="shared" si="0"/>
        <v>0</v>
      </c>
      <c r="F5" s="69"/>
      <c r="G5" s="69"/>
      <c r="H5" s="86"/>
      <c r="I5" s="85"/>
      <c r="J5" s="85"/>
      <c r="K5" s="85"/>
      <c r="L5" s="69"/>
      <c r="M5" s="69">
        <f t="shared" si="1"/>
        <v>0</v>
      </c>
      <c r="N5" s="69"/>
      <c r="O5" s="69">
        <v>2800</v>
      </c>
      <c r="P5" s="3">
        <f t="shared" si="2"/>
        <v>0</v>
      </c>
      <c r="Q5" s="2">
        <v>5037.9</v>
      </c>
      <c r="R5" s="75"/>
      <c r="S5" s="69"/>
      <c r="T5" s="76"/>
      <c r="U5" s="136"/>
      <c r="V5" s="137"/>
      <c r="W5" s="74">
        <f aca="true" t="shared" si="3" ref="W5:W24">R5+S5+U5+T5+V5</f>
        <v>0</v>
      </c>
    </row>
    <row r="6" spans="1:23" ht="12.75">
      <c r="A6" s="10">
        <v>42983</v>
      </c>
      <c r="B6" s="69"/>
      <c r="C6" s="69"/>
      <c r="D6" s="113"/>
      <c r="E6" s="113">
        <f t="shared" si="0"/>
        <v>0</v>
      </c>
      <c r="F6" s="78"/>
      <c r="G6" s="69"/>
      <c r="H6" s="87"/>
      <c r="I6" s="85"/>
      <c r="J6" s="85"/>
      <c r="K6" s="85"/>
      <c r="L6" s="85"/>
      <c r="M6" s="69">
        <f t="shared" si="1"/>
        <v>0</v>
      </c>
      <c r="N6" s="69"/>
      <c r="O6" s="69">
        <v>4000</v>
      </c>
      <c r="P6" s="3">
        <f t="shared" si="2"/>
        <v>0</v>
      </c>
      <c r="Q6" s="2">
        <v>5037.9</v>
      </c>
      <c r="R6" s="77"/>
      <c r="S6" s="78"/>
      <c r="T6" s="79"/>
      <c r="U6" s="138"/>
      <c r="V6" s="139"/>
      <c r="W6" s="74">
        <f t="shared" si="3"/>
        <v>0</v>
      </c>
    </row>
    <row r="7" spans="1:23" ht="12.75">
      <c r="A7" s="10">
        <v>42984</v>
      </c>
      <c r="B7" s="84"/>
      <c r="C7" s="69"/>
      <c r="D7" s="113"/>
      <c r="E7" s="113">
        <f t="shared" si="0"/>
        <v>0</v>
      </c>
      <c r="F7" s="69"/>
      <c r="G7" s="69"/>
      <c r="H7" s="86"/>
      <c r="I7" s="85"/>
      <c r="J7" s="85"/>
      <c r="K7" s="85"/>
      <c r="L7" s="85"/>
      <c r="M7" s="69">
        <f t="shared" si="1"/>
        <v>0</v>
      </c>
      <c r="N7" s="69"/>
      <c r="O7" s="69">
        <v>6000</v>
      </c>
      <c r="P7" s="3">
        <f t="shared" si="2"/>
        <v>0</v>
      </c>
      <c r="Q7" s="2">
        <v>5037.9</v>
      </c>
      <c r="R7" s="77"/>
      <c r="S7" s="78"/>
      <c r="T7" s="79"/>
      <c r="U7" s="138"/>
      <c r="V7" s="139"/>
      <c r="W7" s="74">
        <f t="shared" si="3"/>
        <v>0</v>
      </c>
    </row>
    <row r="8" spans="1:23" ht="12.75">
      <c r="A8" s="10">
        <v>42985</v>
      </c>
      <c r="B8" s="69"/>
      <c r="C8" s="80"/>
      <c r="D8" s="113"/>
      <c r="E8" s="113">
        <f t="shared" si="0"/>
        <v>0</v>
      </c>
      <c r="F8" s="85"/>
      <c r="G8" s="85"/>
      <c r="H8" s="69"/>
      <c r="I8" s="85"/>
      <c r="J8" s="85"/>
      <c r="K8" s="85"/>
      <c r="L8" s="85"/>
      <c r="M8" s="69">
        <f t="shared" si="1"/>
        <v>0</v>
      </c>
      <c r="N8" s="69"/>
      <c r="O8" s="69">
        <v>7900</v>
      </c>
      <c r="P8" s="3">
        <f t="shared" si="2"/>
        <v>0</v>
      </c>
      <c r="Q8" s="2">
        <v>5037.9</v>
      </c>
      <c r="R8" s="77"/>
      <c r="S8" s="78"/>
      <c r="T8" s="76"/>
      <c r="U8" s="136"/>
      <c r="V8" s="137"/>
      <c r="W8" s="74">
        <f t="shared" si="3"/>
        <v>0</v>
      </c>
    </row>
    <row r="9" spans="1:23" ht="12.75">
      <c r="A9" s="10">
        <v>42986</v>
      </c>
      <c r="B9" s="69"/>
      <c r="C9" s="80"/>
      <c r="D9" s="113"/>
      <c r="E9" s="113">
        <f>C9-D9</f>
        <v>0</v>
      </c>
      <c r="F9" s="85"/>
      <c r="G9" s="89"/>
      <c r="H9" s="69"/>
      <c r="I9" s="85"/>
      <c r="J9" s="85"/>
      <c r="K9" s="85"/>
      <c r="L9" s="85"/>
      <c r="M9" s="69">
        <f>N9-B9-C9-F9-G9-H9-I9-J9-K9-L9</f>
        <v>0</v>
      </c>
      <c r="N9" s="69"/>
      <c r="O9" s="69">
        <v>3500</v>
      </c>
      <c r="P9" s="3">
        <f t="shared" si="2"/>
        <v>0</v>
      </c>
      <c r="Q9" s="2">
        <v>5037.9</v>
      </c>
      <c r="R9" s="77"/>
      <c r="S9" s="78"/>
      <c r="T9" s="76"/>
      <c r="U9" s="136"/>
      <c r="V9" s="137"/>
      <c r="W9" s="74">
        <f t="shared" si="3"/>
        <v>0</v>
      </c>
    </row>
    <row r="10" spans="1:23" ht="12.75">
      <c r="A10" s="10">
        <v>42989</v>
      </c>
      <c r="B10" s="69"/>
      <c r="C10" s="80"/>
      <c r="D10" s="113"/>
      <c r="E10" s="113">
        <f>C10-D10</f>
        <v>0</v>
      </c>
      <c r="F10" s="85"/>
      <c r="G10" s="85"/>
      <c r="H10" s="69"/>
      <c r="I10" s="85"/>
      <c r="J10" s="85"/>
      <c r="K10" s="85"/>
      <c r="L10" s="85"/>
      <c r="M10" s="69">
        <f t="shared" si="1"/>
        <v>0</v>
      </c>
      <c r="N10" s="69"/>
      <c r="O10" s="78">
        <v>3400</v>
      </c>
      <c r="P10" s="3">
        <f t="shared" si="2"/>
        <v>0</v>
      </c>
      <c r="Q10" s="2">
        <v>5037.9</v>
      </c>
      <c r="R10" s="77"/>
      <c r="S10" s="78"/>
      <c r="T10" s="76"/>
      <c r="U10" s="136"/>
      <c r="V10" s="137"/>
      <c r="W10" s="74">
        <f>R10+S10+U10+T10+V10</f>
        <v>0</v>
      </c>
    </row>
    <row r="11" spans="1:23" ht="12.75">
      <c r="A11" s="10">
        <v>42990</v>
      </c>
      <c r="B11" s="69"/>
      <c r="C11" s="80"/>
      <c r="D11" s="113"/>
      <c r="E11" s="113">
        <f t="shared" si="0"/>
        <v>0</v>
      </c>
      <c r="F11" s="85"/>
      <c r="G11" s="85"/>
      <c r="H11" s="69"/>
      <c r="I11" s="85"/>
      <c r="J11" s="85"/>
      <c r="K11" s="85"/>
      <c r="L11" s="85"/>
      <c r="M11" s="69">
        <f>N11-B11-C11-F11-G11-H11-I11-J11-K11-L11</f>
        <v>0</v>
      </c>
      <c r="N11" s="69"/>
      <c r="O11" s="69">
        <v>3300</v>
      </c>
      <c r="P11" s="3">
        <f t="shared" si="2"/>
        <v>0</v>
      </c>
      <c r="Q11" s="2">
        <v>5037.9</v>
      </c>
      <c r="R11" s="75"/>
      <c r="S11" s="69"/>
      <c r="T11" s="76"/>
      <c r="U11" s="136"/>
      <c r="V11" s="137"/>
      <c r="W11" s="74">
        <f t="shared" si="3"/>
        <v>0</v>
      </c>
    </row>
    <row r="12" spans="1:23" ht="12.75">
      <c r="A12" s="10">
        <v>42991</v>
      </c>
      <c r="B12" s="84"/>
      <c r="C12" s="80"/>
      <c r="D12" s="113"/>
      <c r="E12" s="113">
        <f t="shared" si="0"/>
        <v>0</v>
      </c>
      <c r="F12" s="85"/>
      <c r="G12" s="85"/>
      <c r="H12" s="69"/>
      <c r="I12" s="85"/>
      <c r="J12" s="85"/>
      <c r="K12" s="85"/>
      <c r="L12" s="85"/>
      <c r="M12" s="69">
        <f>N12-B12-C12-F12-G12-H12-I12-J12-K12-L12</f>
        <v>0</v>
      </c>
      <c r="N12" s="69"/>
      <c r="O12" s="69">
        <v>3800</v>
      </c>
      <c r="P12" s="3">
        <f t="shared" si="2"/>
        <v>0</v>
      </c>
      <c r="Q12" s="2">
        <v>5037.9</v>
      </c>
      <c r="R12" s="75"/>
      <c r="S12" s="69"/>
      <c r="T12" s="76"/>
      <c r="U12" s="136"/>
      <c r="V12" s="137"/>
      <c r="W12" s="74">
        <f t="shared" si="3"/>
        <v>0</v>
      </c>
    </row>
    <row r="13" spans="1:23" ht="12.75">
      <c r="A13" s="10">
        <v>42992</v>
      </c>
      <c r="B13" s="69"/>
      <c r="C13" s="80"/>
      <c r="D13" s="113"/>
      <c r="E13" s="113">
        <f t="shared" si="0"/>
        <v>0</v>
      </c>
      <c r="F13" s="85"/>
      <c r="G13" s="85"/>
      <c r="H13" s="69"/>
      <c r="I13" s="85"/>
      <c r="J13" s="85"/>
      <c r="K13" s="85"/>
      <c r="L13" s="85"/>
      <c r="M13" s="69">
        <f>N13-B13-C13-F13-G13-H13-I13-J13-K13-L13</f>
        <v>0</v>
      </c>
      <c r="N13" s="69"/>
      <c r="O13" s="69">
        <v>7600</v>
      </c>
      <c r="P13" s="3">
        <f t="shared" si="2"/>
        <v>0</v>
      </c>
      <c r="Q13" s="2">
        <v>5037.9</v>
      </c>
      <c r="R13" s="75"/>
      <c r="S13" s="69"/>
      <c r="T13" s="76"/>
      <c r="U13" s="136"/>
      <c r="V13" s="137"/>
      <c r="W13" s="74">
        <f t="shared" si="3"/>
        <v>0</v>
      </c>
    </row>
    <row r="14" spans="1:23" ht="12.75">
      <c r="A14" s="10">
        <v>42993</v>
      </c>
      <c r="B14" s="69"/>
      <c r="C14" s="80"/>
      <c r="D14" s="113"/>
      <c r="E14" s="113">
        <f t="shared" si="0"/>
        <v>0</v>
      </c>
      <c r="F14" s="85"/>
      <c r="G14" s="85"/>
      <c r="H14" s="69"/>
      <c r="I14" s="85"/>
      <c r="J14" s="85"/>
      <c r="K14" s="85"/>
      <c r="L14" s="85"/>
      <c r="M14" s="69">
        <f t="shared" si="1"/>
        <v>0</v>
      </c>
      <c r="N14" s="69"/>
      <c r="O14" s="69">
        <v>5000</v>
      </c>
      <c r="P14" s="3">
        <f t="shared" si="2"/>
        <v>0</v>
      </c>
      <c r="Q14" s="2">
        <v>5037.9</v>
      </c>
      <c r="R14" s="75"/>
      <c r="S14" s="69"/>
      <c r="T14" s="80"/>
      <c r="U14" s="136"/>
      <c r="V14" s="137"/>
      <c r="W14" s="74">
        <f t="shared" si="3"/>
        <v>0</v>
      </c>
    </row>
    <row r="15" spans="1:23" ht="12.75">
      <c r="A15" s="10">
        <v>42996</v>
      </c>
      <c r="B15" s="69"/>
      <c r="C15" s="69"/>
      <c r="D15" s="113"/>
      <c r="E15" s="113">
        <f t="shared" si="0"/>
        <v>0</v>
      </c>
      <c r="F15" s="88"/>
      <c r="G15" s="88"/>
      <c r="H15" s="89"/>
      <c r="I15" s="88"/>
      <c r="J15" s="88"/>
      <c r="K15" s="88"/>
      <c r="L15" s="88"/>
      <c r="M15" s="69">
        <f t="shared" si="1"/>
        <v>0</v>
      </c>
      <c r="N15" s="69"/>
      <c r="O15" s="78">
        <v>4800</v>
      </c>
      <c r="P15" s="3">
        <f>N15/O15</f>
        <v>0</v>
      </c>
      <c r="Q15" s="2">
        <v>5037.9</v>
      </c>
      <c r="R15" s="75"/>
      <c r="S15" s="69"/>
      <c r="T15" s="80"/>
      <c r="U15" s="136"/>
      <c r="V15" s="137"/>
      <c r="W15" s="74">
        <f t="shared" si="3"/>
        <v>0</v>
      </c>
    </row>
    <row r="16" spans="1:23" ht="12.75">
      <c r="A16" s="10">
        <v>42997</v>
      </c>
      <c r="B16" s="69"/>
      <c r="C16" s="80"/>
      <c r="D16" s="113"/>
      <c r="E16" s="113">
        <f t="shared" si="0"/>
        <v>0</v>
      </c>
      <c r="F16" s="85"/>
      <c r="G16" s="85"/>
      <c r="H16" s="69"/>
      <c r="I16" s="85"/>
      <c r="J16" s="85"/>
      <c r="K16" s="85"/>
      <c r="L16" s="85"/>
      <c r="M16" s="69">
        <f t="shared" si="1"/>
        <v>0</v>
      </c>
      <c r="N16" s="69"/>
      <c r="O16" s="78">
        <v>4500</v>
      </c>
      <c r="P16" s="3">
        <f t="shared" si="2"/>
        <v>0</v>
      </c>
      <c r="Q16" s="2">
        <v>5037.9</v>
      </c>
      <c r="R16" s="75"/>
      <c r="S16" s="69"/>
      <c r="T16" s="80"/>
      <c r="U16" s="136"/>
      <c r="V16" s="137"/>
      <c r="W16" s="74">
        <f t="shared" si="3"/>
        <v>0</v>
      </c>
    </row>
    <row r="17" spans="1:23" ht="12.75">
      <c r="A17" s="10">
        <v>42998</v>
      </c>
      <c r="B17" s="69"/>
      <c r="C17" s="80"/>
      <c r="D17" s="113"/>
      <c r="E17" s="113">
        <f t="shared" si="0"/>
        <v>0</v>
      </c>
      <c r="F17" s="85"/>
      <c r="G17" s="85"/>
      <c r="H17" s="69"/>
      <c r="I17" s="85"/>
      <c r="J17" s="85"/>
      <c r="K17" s="85"/>
      <c r="L17" s="85"/>
      <c r="M17" s="69">
        <f t="shared" si="1"/>
        <v>0</v>
      </c>
      <c r="N17" s="69"/>
      <c r="O17" s="69">
        <v>4400</v>
      </c>
      <c r="P17" s="3">
        <f t="shared" si="2"/>
        <v>0</v>
      </c>
      <c r="Q17" s="2">
        <v>5037.9</v>
      </c>
      <c r="R17" s="75"/>
      <c r="S17" s="69"/>
      <c r="T17" s="80"/>
      <c r="U17" s="136"/>
      <c r="V17" s="137"/>
      <c r="W17" s="74">
        <f t="shared" si="3"/>
        <v>0</v>
      </c>
    </row>
    <row r="18" spans="1:23" ht="12.75">
      <c r="A18" s="10">
        <v>42999</v>
      </c>
      <c r="B18" s="69"/>
      <c r="C18" s="80"/>
      <c r="D18" s="113"/>
      <c r="E18" s="113">
        <f t="shared" si="0"/>
        <v>0</v>
      </c>
      <c r="F18" s="85"/>
      <c r="G18" s="85"/>
      <c r="H18" s="69"/>
      <c r="I18" s="85"/>
      <c r="J18" s="85"/>
      <c r="K18" s="85"/>
      <c r="L18" s="85"/>
      <c r="M18" s="69">
        <f t="shared" si="1"/>
        <v>0</v>
      </c>
      <c r="N18" s="69"/>
      <c r="O18" s="69">
        <v>5500</v>
      </c>
      <c r="P18" s="3">
        <f>N18/O18</f>
        <v>0</v>
      </c>
      <c r="Q18" s="2">
        <v>5037.9</v>
      </c>
      <c r="R18" s="75"/>
      <c r="S18" s="69"/>
      <c r="T18" s="76"/>
      <c r="U18" s="136"/>
      <c r="V18" s="137"/>
      <c r="W18" s="74">
        <f t="shared" si="3"/>
        <v>0</v>
      </c>
    </row>
    <row r="19" spans="1:23" ht="12.75">
      <c r="A19" s="10">
        <v>43000</v>
      </c>
      <c r="B19" s="69"/>
      <c r="C19" s="80"/>
      <c r="D19" s="113"/>
      <c r="E19" s="113">
        <f t="shared" si="0"/>
        <v>0</v>
      </c>
      <c r="F19" s="85"/>
      <c r="G19" s="85"/>
      <c r="H19" s="69"/>
      <c r="I19" s="85"/>
      <c r="J19" s="85"/>
      <c r="K19" s="85"/>
      <c r="L19" s="85"/>
      <c r="M19" s="69">
        <f>N19-B19-C19-F19-G19-H19-I19-J19-K19-L19</f>
        <v>0</v>
      </c>
      <c r="N19" s="69"/>
      <c r="O19" s="69">
        <v>4800</v>
      </c>
      <c r="P19" s="3">
        <f>N19/O19</f>
        <v>0</v>
      </c>
      <c r="Q19" s="2">
        <v>5037.9</v>
      </c>
      <c r="R19" s="75"/>
      <c r="S19" s="69"/>
      <c r="T19" s="76"/>
      <c r="U19" s="136"/>
      <c r="V19" s="137"/>
      <c r="W19" s="74">
        <f t="shared" si="3"/>
        <v>0</v>
      </c>
    </row>
    <row r="20" spans="1:23" ht="12.75">
      <c r="A20" s="10">
        <v>43003</v>
      </c>
      <c r="B20" s="69"/>
      <c r="C20" s="80"/>
      <c r="D20" s="113"/>
      <c r="E20" s="113">
        <f t="shared" si="0"/>
        <v>0</v>
      </c>
      <c r="F20" s="85"/>
      <c r="G20" s="69"/>
      <c r="H20" s="69"/>
      <c r="I20" s="85"/>
      <c r="J20" s="85"/>
      <c r="K20" s="85"/>
      <c r="L20" s="85"/>
      <c r="M20" s="69">
        <f>N20-B20-C20-F20-G20-H20-I20-J20-K20-L20</f>
        <v>0</v>
      </c>
      <c r="N20" s="69"/>
      <c r="O20" s="69">
        <v>4800</v>
      </c>
      <c r="P20" s="3">
        <f>N20/O20</f>
        <v>0</v>
      </c>
      <c r="Q20" s="2">
        <v>5037.9</v>
      </c>
      <c r="R20" s="75"/>
      <c r="S20" s="69"/>
      <c r="T20" s="76"/>
      <c r="U20" s="136"/>
      <c r="V20" s="137"/>
      <c r="W20" s="74">
        <f t="shared" si="3"/>
        <v>0</v>
      </c>
    </row>
    <row r="21" spans="1:23" ht="12.75">
      <c r="A21" s="10">
        <v>43004</v>
      </c>
      <c r="B21" s="69"/>
      <c r="C21" s="80"/>
      <c r="D21" s="113"/>
      <c r="E21" s="113">
        <f t="shared" si="0"/>
        <v>0</v>
      </c>
      <c r="F21" s="85"/>
      <c r="G21" s="69"/>
      <c r="H21" s="69"/>
      <c r="I21" s="85"/>
      <c r="J21" s="85"/>
      <c r="K21" s="85"/>
      <c r="L21" s="85"/>
      <c r="M21" s="69">
        <f t="shared" si="1"/>
        <v>0</v>
      </c>
      <c r="N21" s="69"/>
      <c r="O21" s="69">
        <v>4800</v>
      </c>
      <c r="P21" s="3">
        <f t="shared" si="2"/>
        <v>0</v>
      </c>
      <c r="Q21" s="2">
        <v>5037.9</v>
      </c>
      <c r="R21" s="81"/>
      <c r="S21" s="80"/>
      <c r="T21" s="76"/>
      <c r="U21" s="136"/>
      <c r="V21" s="137"/>
      <c r="W21" s="74">
        <f t="shared" si="3"/>
        <v>0</v>
      </c>
    </row>
    <row r="22" spans="1:23" ht="12.75">
      <c r="A22" s="10">
        <v>43005</v>
      </c>
      <c r="B22" s="69"/>
      <c r="C22" s="80"/>
      <c r="D22" s="113"/>
      <c r="E22" s="113">
        <f t="shared" si="0"/>
        <v>0</v>
      </c>
      <c r="F22" s="85"/>
      <c r="G22" s="69"/>
      <c r="H22" s="69"/>
      <c r="I22" s="85"/>
      <c r="J22" s="85"/>
      <c r="K22" s="85"/>
      <c r="L22" s="85"/>
      <c r="M22" s="69">
        <f t="shared" si="1"/>
        <v>0</v>
      </c>
      <c r="N22" s="69"/>
      <c r="O22" s="69">
        <v>4500</v>
      </c>
      <c r="P22" s="3">
        <f>N22/O22</f>
        <v>0</v>
      </c>
      <c r="Q22" s="2">
        <v>5037.9</v>
      </c>
      <c r="R22" s="81"/>
      <c r="S22" s="80"/>
      <c r="T22" s="76"/>
      <c r="U22" s="136"/>
      <c r="V22" s="137"/>
      <c r="W22" s="74">
        <f t="shared" si="3"/>
        <v>0</v>
      </c>
    </row>
    <row r="23" spans="1:23" ht="12.75">
      <c r="A23" s="10">
        <v>43006</v>
      </c>
      <c r="B23" s="69"/>
      <c r="C23" s="80"/>
      <c r="D23" s="113"/>
      <c r="E23" s="113">
        <f t="shared" si="0"/>
        <v>0</v>
      </c>
      <c r="F23" s="85"/>
      <c r="G23" s="69"/>
      <c r="H23" s="69"/>
      <c r="I23" s="85"/>
      <c r="J23" s="85"/>
      <c r="K23" s="85"/>
      <c r="L23" s="85"/>
      <c r="M23" s="69">
        <f t="shared" si="1"/>
        <v>0</v>
      </c>
      <c r="N23" s="69"/>
      <c r="O23" s="69">
        <v>6500</v>
      </c>
      <c r="P23" s="3">
        <f>N23/O23</f>
        <v>0</v>
      </c>
      <c r="Q23" s="2">
        <v>5037.9</v>
      </c>
      <c r="R23" s="81"/>
      <c r="S23" s="80"/>
      <c r="T23" s="76"/>
      <c r="U23" s="136"/>
      <c r="V23" s="137"/>
      <c r="W23" s="74">
        <f t="shared" si="3"/>
        <v>0</v>
      </c>
    </row>
    <row r="24" spans="1:23" ht="13.5" thickBot="1">
      <c r="A24" s="10">
        <v>43007</v>
      </c>
      <c r="B24" s="69"/>
      <c r="C24" s="80"/>
      <c r="D24" s="113"/>
      <c r="E24" s="113">
        <f t="shared" si="0"/>
        <v>0</v>
      </c>
      <c r="F24" s="85"/>
      <c r="G24" s="69"/>
      <c r="H24" s="69"/>
      <c r="I24" s="85"/>
      <c r="J24" s="85"/>
      <c r="K24" s="85"/>
      <c r="L24" s="85"/>
      <c r="M24" s="69">
        <f t="shared" si="1"/>
        <v>0</v>
      </c>
      <c r="N24" s="69"/>
      <c r="O24" s="69">
        <f>8893.4</f>
        <v>8893.4</v>
      </c>
      <c r="P24" s="3">
        <f t="shared" si="2"/>
        <v>0</v>
      </c>
      <c r="Q24" s="2">
        <v>5037.9</v>
      </c>
      <c r="R24" s="81"/>
      <c r="S24" s="80"/>
      <c r="T24" s="76"/>
      <c r="U24" s="136"/>
      <c r="V24" s="137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N25">SUM(B4:B24)</f>
        <v>1997.7</v>
      </c>
      <c r="C25" s="92">
        <f t="shared" si="4"/>
        <v>1.8</v>
      </c>
      <c r="D25" s="115">
        <f t="shared" si="4"/>
        <v>1.8</v>
      </c>
      <c r="E25" s="115">
        <f t="shared" si="4"/>
        <v>0</v>
      </c>
      <c r="F25" s="92">
        <f t="shared" si="4"/>
        <v>24.4</v>
      </c>
      <c r="G25" s="92">
        <f t="shared" si="4"/>
        <v>127.4</v>
      </c>
      <c r="H25" s="92">
        <f t="shared" si="4"/>
        <v>315.7</v>
      </c>
      <c r="I25" s="92">
        <f t="shared" si="4"/>
        <v>108.1</v>
      </c>
      <c r="J25" s="92">
        <f t="shared" si="4"/>
        <v>22.1</v>
      </c>
      <c r="K25" s="92">
        <f t="shared" si="4"/>
        <v>0</v>
      </c>
      <c r="L25" s="92">
        <f t="shared" si="4"/>
        <v>2426.9</v>
      </c>
      <c r="M25" s="91">
        <f t="shared" si="4"/>
        <v>13.799999999999727</v>
      </c>
      <c r="N25" s="91">
        <f t="shared" si="4"/>
        <v>5037.9</v>
      </c>
      <c r="O25" s="91">
        <f>SUM(O4:O24)-1</f>
        <v>105792.4</v>
      </c>
      <c r="P25" s="93">
        <f>N25/O25</f>
        <v>0.04762062303152211</v>
      </c>
      <c r="Q25" s="2"/>
      <c r="R25" s="82">
        <f>SUM(R4:R24)</f>
        <v>0</v>
      </c>
      <c r="S25" s="82">
        <f>SUM(S4:S24)</f>
        <v>0</v>
      </c>
      <c r="T25" s="82">
        <f>SUM(T4:T24)</f>
        <v>418.6</v>
      </c>
      <c r="U25" s="125">
        <f>SUM(U4:U24)</f>
        <v>0</v>
      </c>
      <c r="V25" s="126"/>
      <c r="W25" s="82">
        <f>R25+S25+U25+T25+V25</f>
        <v>418.6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7" t="s">
        <v>33</v>
      </c>
      <c r="S28" s="127"/>
      <c r="T28" s="127"/>
      <c r="U28" s="127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8" t="s">
        <v>29</v>
      </c>
      <c r="S29" s="128"/>
      <c r="T29" s="128"/>
      <c r="U29" s="128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9">
        <v>42982</v>
      </c>
      <c r="S30" s="132">
        <v>8626.34759</v>
      </c>
      <c r="T30" s="132"/>
      <c r="U30" s="132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0"/>
      <c r="S31" s="132"/>
      <c r="T31" s="132"/>
      <c r="U31" s="132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3" t="s">
        <v>45</v>
      </c>
      <c r="T33" s="134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5" t="s">
        <v>40</v>
      </c>
      <c r="T34" s="135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7" t="s">
        <v>30</v>
      </c>
      <c r="S38" s="127"/>
      <c r="T38" s="127"/>
      <c r="U38" s="127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4" t="s">
        <v>31</v>
      </c>
      <c r="S39" s="124"/>
      <c r="T39" s="124"/>
      <c r="U39" s="124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9">
        <v>42982</v>
      </c>
      <c r="S40" s="131">
        <v>61040.51314999994</v>
      </c>
      <c r="T40" s="131"/>
      <c r="U40" s="131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0"/>
      <c r="S41" s="131"/>
      <c r="T41" s="131"/>
      <c r="U41" s="131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R29:U29"/>
    <mergeCell ref="R30:R31"/>
    <mergeCell ref="S30:U31"/>
    <mergeCell ref="U17:V17"/>
    <mergeCell ref="U18:V18"/>
    <mergeCell ref="U19:V19"/>
    <mergeCell ref="U20:V20"/>
    <mergeCell ref="U21:V21"/>
    <mergeCell ref="U22:V22"/>
    <mergeCell ref="U23:V23"/>
    <mergeCell ref="S33:T33"/>
    <mergeCell ref="S34:T34"/>
    <mergeCell ref="R38:U38"/>
    <mergeCell ref="R39:U39"/>
    <mergeCell ref="R40:R41"/>
    <mergeCell ref="S40:U41"/>
    <mergeCell ref="U24:V24"/>
    <mergeCell ref="U25:V25"/>
    <mergeCell ref="R28:U2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2017-07-28T08:14:55Z</cp:lastPrinted>
  <dcterms:created xsi:type="dcterms:W3CDTF">2006-11-30T08:16:02Z</dcterms:created>
  <dcterms:modified xsi:type="dcterms:W3CDTF">2017-09-04T13:37:42Z</dcterms:modified>
  <cp:category/>
  <cp:version/>
  <cp:contentType/>
  <cp:contentStatus/>
</cp:coreProperties>
</file>